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a1766542/Desktop/"/>
    </mc:Choice>
  </mc:AlternateContent>
  <bookViews>
    <workbookView xWindow="8020" yWindow="960" windowWidth="19840" windowHeight="17300" tabRatio="891"/>
  </bookViews>
  <sheets>
    <sheet name="AnywherePrints BCR" sheetId="10" r:id="rId1"/>
    <sheet name="Sch A-PerSvcs" sheetId="6" r:id="rId2"/>
    <sheet name="Sch B-Labor" sheetId="4" r:id="rId3"/>
    <sheet name="Sch C-EquipReserve" sheetId="2" r:id="rId4"/>
    <sheet name="Sch D-Occupancy" sheetId="3" r:id="rId5"/>
    <sheet name="Sch E-ContractsExpenses" sheetId="7" r:id="rId6"/>
  </sheets>
  <externalReferences>
    <externalReference r:id="rId7"/>
    <externalReference r:id="rId8"/>
    <externalReference r:id="rId9"/>
  </externalReferences>
  <definedNames>
    <definedName name="_Order1" hidden="1">255</definedName>
    <definedName name="ADMIN_SALARIES" localSheetId="1">[1]niuD!#REF!</definedName>
    <definedName name="ADMIN_SALARIES">'[2]Sch D-Labor'!#REF!</definedName>
    <definedName name="BINDERY_ALLOCAT" localSheetId="1">[1]niuD!#REF!</definedName>
    <definedName name="BINDERY_ALLOCAT">'[2]Sch D-Labor'!#REF!</definedName>
    <definedName name="CC_ALOCATE">'[2]Sch D-Labor'!#REF!</definedName>
    <definedName name="DESKTOP">'[2]Sch G-BHR'!$D$67</definedName>
    <definedName name="_xlnm.Print_Area" localSheetId="0">'AnywherePrints BCR'!$A$1:$I$52</definedName>
    <definedName name="_xlnm.Print_Area" localSheetId="1">'Sch A-PerSvcs'!$A$1:$H$75</definedName>
    <definedName name="_xlnm.Print_Titles">#N/A</definedName>
    <definedName name="RANGE1">[3]A!$A$1:$P$58</definedName>
    <definedName name="ROLAND_ALLOCAT" localSheetId="1">[1]niuD!#REF!</definedName>
    <definedName name="ROLAND_ALLOCAT">'[2]Sch D-Labor'!#REF!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E20" i="6"/>
  <c r="E21" i="6"/>
  <c r="A44" i="4"/>
  <c r="F31" i="4"/>
  <c r="H31" i="4"/>
  <c r="H8" i="10"/>
  <c r="C31" i="7"/>
  <c r="D31" i="7"/>
  <c r="H44" i="4"/>
  <c r="L44" i="4"/>
  <c r="H43" i="4"/>
  <c r="L43" i="4"/>
  <c r="L45" i="4"/>
  <c r="H46" i="4"/>
  <c r="L46" i="4"/>
  <c r="H47" i="4"/>
  <c r="L47" i="4"/>
  <c r="H48" i="4"/>
  <c r="L48" i="4"/>
  <c r="H49" i="4"/>
  <c r="L49" i="4"/>
  <c r="H50" i="4"/>
  <c r="L50" i="4"/>
  <c r="L53" i="4"/>
  <c r="H37" i="10"/>
  <c r="J12" i="4"/>
  <c r="J14" i="4"/>
  <c r="J15" i="4"/>
  <c r="J16" i="4"/>
  <c r="J17" i="4"/>
  <c r="J19" i="4"/>
  <c r="K31" i="4"/>
  <c r="L31" i="4"/>
  <c r="F34" i="4"/>
  <c r="H34" i="4"/>
  <c r="K34" i="4"/>
  <c r="L34" i="4"/>
  <c r="F29" i="4"/>
  <c r="H29" i="4"/>
  <c r="K29" i="4"/>
  <c r="L29" i="4"/>
  <c r="F30" i="4"/>
  <c r="H30" i="4"/>
  <c r="K30" i="4"/>
  <c r="L30" i="4"/>
  <c r="F32" i="4"/>
  <c r="H32" i="4"/>
  <c r="K32" i="4"/>
  <c r="L32" i="4"/>
  <c r="F33" i="4"/>
  <c r="H33" i="4"/>
  <c r="K33" i="4"/>
  <c r="L33" i="4"/>
  <c r="H35" i="4"/>
  <c r="K35" i="4"/>
  <c r="L35" i="4"/>
  <c r="L39" i="4"/>
  <c r="H35" i="10"/>
  <c r="G7" i="2"/>
  <c r="I7" i="2"/>
  <c r="J7" i="2"/>
  <c r="G14" i="2"/>
  <c r="I14" i="2"/>
  <c r="G15" i="2"/>
  <c r="I15" i="2"/>
  <c r="J17" i="2"/>
  <c r="J20" i="2"/>
  <c r="H36" i="10"/>
  <c r="D27" i="7"/>
  <c r="D28" i="7"/>
  <c r="D33" i="7"/>
  <c r="D34" i="7"/>
  <c r="D35" i="7"/>
  <c r="D36" i="7"/>
  <c r="D37" i="7"/>
  <c r="D38" i="7"/>
  <c r="D39" i="7"/>
  <c r="D40" i="7"/>
  <c r="D42" i="7"/>
  <c r="E51" i="7"/>
  <c r="H38" i="10"/>
  <c r="H13" i="3"/>
  <c r="H29" i="10"/>
  <c r="H41" i="10"/>
  <c r="F37" i="10"/>
  <c r="F35" i="10"/>
  <c r="F36" i="10"/>
  <c r="F38" i="10"/>
  <c r="F29" i="10"/>
  <c r="F41" i="10"/>
  <c r="K39" i="4"/>
  <c r="K55" i="4"/>
  <c r="F18" i="10"/>
  <c r="F14" i="10"/>
  <c r="E13" i="7"/>
  <c r="F15" i="10"/>
  <c r="D17" i="7"/>
  <c r="D18" i="7"/>
  <c r="E20" i="7"/>
  <c r="F19" i="10"/>
  <c r="F21" i="10"/>
  <c r="F46" i="10"/>
  <c r="K38" i="10"/>
  <c r="K37" i="10"/>
  <c r="K36" i="10"/>
  <c r="C42" i="7"/>
  <c r="F28" i="10"/>
  <c r="K29" i="10"/>
  <c r="G18" i="3"/>
  <c r="H19" i="10"/>
  <c r="K19" i="10"/>
  <c r="H15" i="10"/>
  <c r="K15" i="10"/>
  <c r="H14" i="10"/>
  <c r="K14" i="10"/>
  <c r="F7" i="2"/>
  <c r="F17" i="2"/>
  <c r="F20" i="2"/>
  <c r="H7" i="2"/>
  <c r="G13" i="2"/>
  <c r="G16" i="2"/>
  <c r="G17" i="2"/>
  <c r="H17" i="2"/>
  <c r="H20" i="2"/>
  <c r="D8" i="3"/>
  <c r="H8" i="3"/>
  <c r="H18" i="3"/>
  <c r="H28" i="10"/>
  <c r="D18" i="3"/>
  <c r="E8" i="3"/>
  <c r="K28" i="10"/>
  <c r="E13" i="3"/>
  <c r="E18" i="3"/>
  <c r="A34" i="4"/>
  <c r="A33" i="4"/>
  <c r="A32" i="4"/>
  <c r="A31" i="4"/>
  <c r="A30" i="4"/>
  <c r="A29" i="4"/>
  <c r="E49" i="6"/>
  <c r="E48" i="6"/>
  <c r="E47" i="6"/>
  <c r="E46" i="6"/>
  <c r="E22" i="6"/>
  <c r="E33" i="6"/>
  <c r="E32" i="6"/>
  <c r="E35" i="6"/>
  <c r="E11" i="6"/>
  <c r="E13" i="6"/>
  <c r="H53" i="4"/>
  <c r="E38" i="6"/>
  <c r="E16" i="6"/>
  <c r="A1" i="7"/>
  <c r="A2" i="7"/>
  <c r="A1" i="3"/>
  <c r="A2" i="3"/>
  <c r="A2" i="2"/>
  <c r="A2" i="4"/>
  <c r="A2" i="6"/>
  <c r="N12" i="4"/>
  <c r="N14" i="4"/>
  <c r="N15" i="4"/>
  <c r="N16" i="4"/>
  <c r="N17" i="4"/>
  <c r="A3" i="7"/>
  <c r="A3" i="3"/>
  <c r="A3" i="2"/>
  <c r="A3" i="4"/>
  <c r="A3" i="6"/>
  <c r="E23" i="6"/>
  <c r="E25" i="6"/>
  <c r="E43" i="6"/>
  <c r="E42" i="6"/>
  <c r="E51" i="6"/>
  <c r="E50" i="6"/>
  <c r="E44" i="6"/>
  <c r="E45" i="6"/>
  <c r="E64" i="6"/>
  <c r="H39" i="4"/>
  <c r="H55" i="4"/>
  <c r="E53" i="6"/>
  <c r="N19" i="4"/>
  <c r="E28" i="6"/>
  <c r="N32" i="4"/>
  <c r="N31" i="4"/>
  <c r="N33" i="4"/>
  <c r="N34" i="4"/>
  <c r="E55" i="6"/>
  <c r="E67" i="6"/>
  <c r="N39" i="4"/>
  <c r="H18" i="10"/>
  <c r="H21" i="10"/>
  <c r="H23" i="10"/>
  <c r="K18" i="10"/>
  <c r="L55" i="4"/>
  <c r="F33" i="10"/>
  <c r="H33" i="10"/>
  <c r="L58" i="4"/>
  <c r="K33" i="10"/>
  <c r="F23" i="10"/>
  <c r="K35" i="10"/>
  <c r="F43" i="10"/>
  <c r="F48" i="10"/>
  <c r="H43" i="10"/>
  <c r="H48" i="10"/>
  <c r="H46" i="10"/>
</calcChain>
</file>

<file path=xl/comments1.xml><?xml version="1.0" encoding="utf-8"?>
<comments xmlns="http://schemas.openxmlformats.org/spreadsheetml/2006/main">
  <authors>
    <author>Frederick Williams</author>
    <author>Marisa Benson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 xml:space="preserve">Projected first year counts. Expected to decline future years.
</t>
        </r>
      </text>
    </comment>
    <comment ref="F8" authorId="1">
      <text>
        <r>
          <rPr>
            <sz val="10"/>
            <color indexed="81"/>
            <rFont val="Calibri"/>
          </rPr>
          <t>Assumption that this is the percentage of revenue derived from black/white copies and therefore direct costs and overhead are allocated at this percentage.</t>
        </r>
      </text>
    </comment>
    <comment ref="H8" authorId="1">
      <text>
        <r>
          <rPr>
            <sz val="10"/>
            <color indexed="81"/>
            <rFont val="Calibri"/>
          </rPr>
          <t>Assumption that this is the percentage of revenue derived from color copies and therefore direct costs and overhead are allocated at this percentage.</t>
        </r>
      </text>
    </comment>
  </commentList>
</comments>
</file>

<file path=xl/comments2.xml><?xml version="1.0" encoding="utf-8"?>
<comments xmlns="http://schemas.openxmlformats.org/spreadsheetml/2006/main">
  <authors>
    <author>Frederick Williams</author>
  </authors>
  <commentList>
    <comment ref="A47" authorId="0">
      <text>
        <r>
          <rPr>
            <b/>
            <sz val="9"/>
            <color indexed="81"/>
            <rFont val="Tahoma"/>
            <family val="2"/>
          </rPr>
          <t>Ave of Distributed Key Operators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This cost is born by the university regardless of print project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<sst xmlns="http://schemas.openxmlformats.org/spreadsheetml/2006/main" count="308" uniqueCount="187">
  <si>
    <t>Schedule A</t>
  </si>
  <si>
    <t>Annual Manned Hours</t>
  </si>
  <si>
    <t>Annual Hours Worked</t>
  </si>
  <si>
    <t>Days</t>
  </si>
  <si>
    <t>Hours</t>
  </si>
  <si>
    <t>x</t>
  </si>
  <si>
    <t>=</t>
  </si>
  <si>
    <t>Less:</t>
  </si>
  <si>
    <t>Paid Holidays</t>
  </si>
  <si>
    <t>Paid Sick Time</t>
  </si>
  <si>
    <t>Paid Breaks</t>
  </si>
  <si>
    <t>Paid Vacation</t>
  </si>
  <si>
    <t>Annual Manned Hours @ 100% Productivity</t>
  </si>
  <si>
    <t>Northern Illinois University</t>
  </si>
  <si>
    <t>Schedule B</t>
  </si>
  <si>
    <t>Department</t>
  </si>
  <si>
    <t>Purchase Date</t>
  </si>
  <si>
    <t>Anticipated Replacment</t>
  </si>
  <si>
    <t>Original Investment</t>
  </si>
  <si>
    <t>Schedule C</t>
  </si>
  <si>
    <t>Allocated Floor Space</t>
  </si>
  <si>
    <t>Floor Space Allocation</t>
  </si>
  <si>
    <t>Schedule D</t>
  </si>
  <si>
    <t>Direct &amp; Indirect Labor</t>
  </si>
  <si>
    <t>Operating Staff - 647100</t>
  </si>
  <si>
    <t>Name</t>
  </si>
  <si>
    <t>Employee ID</t>
  </si>
  <si>
    <t>Pos #</t>
  </si>
  <si>
    <t>Amount</t>
  </si>
  <si>
    <t>Annual Amount</t>
  </si>
  <si>
    <t>I</t>
  </si>
  <si>
    <t>Comments</t>
  </si>
  <si>
    <t>y</t>
  </si>
  <si>
    <t>TOTAL OP STAFF</t>
  </si>
  <si>
    <t>None</t>
  </si>
  <si>
    <t>Schedule E</t>
  </si>
  <si>
    <t>Personal Services</t>
  </si>
  <si>
    <t>Administrative Expenses:</t>
  </si>
  <si>
    <t>Total Administrative Expenses:</t>
  </si>
  <si>
    <t>Descritpion</t>
  </si>
  <si>
    <t>Annualized</t>
  </si>
  <si>
    <t>Direct Labor</t>
  </si>
  <si>
    <t>Occupancy</t>
  </si>
  <si>
    <t>Administrative Salary Allocation</t>
  </si>
  <si>
    <t>Fixed Overhead:</t>
  </si>
  <si>
    <t>Variable Overhead:</t>
  </si>
  <si>
    <t>Indirect Labor</t>
  </si>
  <si>
    <t>Annual</t>
  </si>
  <si>
    <t>B</t>
  </si>
  <si>
    <t>E</t>
  </si>
  <si>
    <t>C</t>
  </si>
  <si>
    <t>D</t>
  </si>
  <si>
    <t>DIRECT MANUFACTURING OVERHEAD:</t>
  </si>
  <si>
    <t>ADMINISTRATIVE OVERHEAD:</t>
  </si>
  <si>
    <t>TOTAL ADMINISTRATIVE OVERHEAD:</t>
  </si>
  <si>
    <t>TOTAL DIRECT MANUFACTURING OVERHEAD:</t>
  </si>
  <si>
    <t>Annual Manned Hours at 100% Productivity</t>
  </si>
  <si>
    <t>Vendor</t>
  </si>
  <si>
    <t>Gordon Flesch</t>
  </si>
  <si>
    <t>Total Administrative Labor</t>
  </si>
  <si>
    <t>Grand Total Company Labor</t>
  </si>
  <si>
    <t>Dimensions</t>
  </si>
  <si>
    <t>Major Equipment Replacement Reserve</t>
  </si>
  <si>
    <t>Software Upgrades:  Applications</t>
  </si>
  <si>
    <t>Software Upgrades:  Operating Systems</t>
  </si>
  <si>
    <t>GRAND TOTAL OVERHEAD:</t>
  </si>
  <si>
    <t>FTE's</t>
  </si>
  <si>
    <t>% in</t>
  </si>
  <si>
    <t>Dept</t>
  </si>
  <si>
    <t>1=Hrly</t>
  </si>
  <si>
    <t>2=Slry</t>
  </si>
  <si>
    <t>Salary</t>
  </si>
  <si>
    <t>Rate</t>
  </si>
  <si>
    <t>Base</t>
  </si>
  <si>
    <t>Administrative:</t>
  </si>
  <si>
    <t>Description</t>
  </si>
  <si>
    <t>Administrative Expense Allocation</t>
  </si>
  <si>
    <t>Maintenance Contracts-Equipment Specific</t>
  </si>
  <si>
    <t>Original Price + 5% Increase</t>
  </si>
  <si>
    <t>*</t>
  </si>
  <si>
    <t>Grand Total Company Equipment</t>
  </si>
  <si>
    <t>Equipment Replacement Reserve (10 year plan)</t>
  </si>
  <si>
    <t>General Factory/Admin Equip Reserve Allocation</t>
  </si>
  <si>
    <t>Desktop Computers, Servers, etc Depreciated Over 3 Years</t>
  </si>
  <si>
    <t>^</t>
  </si>
  <si>
    <t>Miscellaneous Office Equipment Depreciated Over 5 Years</t>
  </si>
  <si>
    <t>Miscellaneous Office Equipment Under $500</t>
  </si>
  <si>
    <t>Hrly/Mthly Rate</t>
  </si>
  <si>
    <t>Sch</t>
  </si>
  <si>
    <t>*Night-Time Shift Differential is $.20/ hour if shift starts between 3:00 p.m and 4:59 a.m.</t>
  </si>
  <si>
    <t>Contracts, Materials &amp; Other Expenses</t>
  </si>
  <si>
    <t>n</t>
  </si>
  <si>
    <t>Subtotal Operating Staff</t>
  </si>
  <si>
    <t>Operating Staff Increment</t>
  </si>
  <si>
    <t>Grand Total Staff</t>
  </si>
  <si>
    <t>Subtotal Student Help Staff</t>
  </si>
  <si>
    <t>Total Promotions and Increases</t>
  </si>
  <si>
    <t>Note:  Yearly amount for hourly staff is calculated based on 1,957.5 hours in FY 2015.</t>
  </si>
  <si>
    <t>Office Supplies</t>
  </si>
  <si>
    <t>OneCard - Huskie Bucks 2.5% Fee</t>
  </si>
  <si>
    <t>FO 294</t>
  </si>
  <si>
    <t>FO First Floor Elevator Shaft</t>
  </si>
  <si>
    <t>10 x 15</t>
  </si>
  <si>
    <t>6 x 10</t>
  </si>
  <si>
    <t>Computers, Battery Backups, etc.</t>
  </si>
  <si>
    <t>Based Upon an Average 15 year Employee</t>
  </si>
  <si>
    <t>Pharos TIA (Blackboard Integrator)</t>
  </si>
  <si>
    <t>Blackboard</t>
  </si>
  <si>
    <t>FY 2017</t>
  </si>
  <si>
    <t>DoIT Integrated Media Technologies</t>
  </si>
  <si>
    <t>SPS Increment</t>
  </si>
  <si>
    <t>Plus Promotions and Increases in FY17:</t>
  </si>
  <si>
    <t>Subtotal Extra Help Staff</t>
  </si>
  <si>
    <t>0% Estimated for FY2017 (only if I = y)</t>
  </si>
  <si>
    <t>SPS Staff - 641000</t>
  </si>
  <si>
    <t>Subtotal SPS Staff</t>
  </si>
  <si>
    <t>AnywherePrints Program:</t>
  </si>
  <si>
    <t>Extra Help Staff Increment</t>
  </si>
  <si>
    <t>Extra Help Staff - 646000  (based on 1,200 hours per year)</t>
  </si>
  <si>
    <t>Student Help Staff - 651000 (based on 750 hours per year)</t>
  </si>
  <si>
    <t>Expenses</t>
  </si>
  <si>
    <t xml:space="preserve">Four Month's </t>
  </si>
  <si>
    <t>Office Books, $100 limit</t>
  </si>
  <si>
    <t>cross check</t>
  </si>
  <si>
    <t>Lindenmeyr</t>
  </si>
  <si>
    <t>AnywherePrints</t>
  </si>
  <si>
    <t>AnywherePrints Offices</t>
  </si>
  <si>
    <t>Cost of Storage = $100.00 per square foot</t>
  </si>
  <si>
    <t>Warehousing/Storage Square Footage</t>
  </si>
  <si>
    <t>Accounting/Procurement</t>
  </si>
  <si>
    <t>On-Site Department: 2 FTE</t>
  </si>
  <si>
    <t>Students:  5 FTE</t>
  </si>
  <si>
    <t>Distributed IT:  1.5 FTE</t>
  </si>
  <si>
    <t>Total Materials:</t>
  </si>
  <si>
    <t>Materials:</t>
  </si>
  <si>
    <t>Total Contracts:</t>
  </si>
  <si>
    <t>Contracts:</t>
  </si>
  <si>
    <t>NIU Transportation:  2 vehicles</t>
  </si>
  <si>
    <t>Parking Permits</t>
  </si>
  <si>
    <t>UPS -- Student Copy Cards to Outreach Centers</t>
  </si>
  <si>
    <t>Office Equipment, $100 limit</t>
  </si>
  <si>
    <t>DIRECT COST PER COPY RATE</t>
  </si>
  <si>
    <t>ALL INCLUSIVE COST PER COPY RATE:</t>
  </si>
  <si>
    <t>ADMINISTRATIVE COST PER COPY RATE:</t>
  </si>
  <si>
    <t>Equipment R&amp;M  -- Departmental</t>
  </si>
  <si>
    <t xml:space="preserve">Equipment R&amp;M  --  IMT </t>
  </si>
  <si>
    <t>Expenses 10/31/16</t>
  </si>
  <si>
    <t>Black Copies</t>
  </si>
  <si>
    <t>Color Copies</t>
  </si>
  <si>
    <t>Total Administrative Expenses</t>
  </si>
  <si>
    <t>AnywherePrints Administrative Offices</t>
  </si>
  <si>
    <t>Major Equipment</t>
  </si>
  <si>
    <t>Materials</t>
  </si>
  <si>
    <t>Cost of Storage</t>
  </si>
  <si>
    <t>Total AnywherePrints Square Footage</t>
  </si>
  <si>
    <t>Total Program Employees</t>
  </si>
  <si>
    <t>Manned Hours</t>
  </si>
  <si>
    <t>Total Program Labor</t>
  </si>
  <si>
    <t>Division of IT Admin Salaries *</t>
  </si>
  <si>
    <t>* AnywherePrints portion as per DoIT Costing Model</t>
  </si>
  <si>
    <t>~</t>
  </si>
  <si>
    <t>AnywherePrints portion as per DoIT Costing Model</t>
  </si>
  <si>
    <t xml:space="preserve">Division of IT Administrative Overhead &amp; Desktop Support </t>
  </si>
  <si>
    <t xml:space="preserve">   (AnywherePrints portion as per DoIT Costing Model)</t>
  </si>
  <si>
    <t>Sales Tax on Student Purchases and Student Paper Purchases</t>
  </si>
  <si>
    <t>Instructional Supplies and Training</t>
  </si>
  <si>
    <t>Copier Rental Contract (including toner and staples)</t>
  </si>
  <si>
    <t>marked as zero under the assumption of wired networking charges centralized in FY18</t>
  </si>
  <si>
    <t>Print Rates: With Paper Centrally Purchased and Delivered</t>
  </si>
  <si>
    <t>Staff Person</t>
  </si>
  <si>
    <t>xxxxx</t>
  </si>
  <si>
    <t>Student Employee</t>
  </si>
  <si>
    <t>Work Hours</t>
  </si>
  <si>
    <t>Central Stores:  1 FTE</t>
  </si>
  <si>
    <t>Materials Management: 1 FTE</t>
  </si>
  <si>
    <t>Printing - Promotional Materials</t>
  </si>
  <si>
    <t>DoIT Monthly Charges - Wired Network Connections (410 @$18 each)</t>
  </si>
  <si>
    <t>8.5 x 11 Paper Supplies:  15 million sheets at $6.68 per thousand ($3.34/ream)</t>
  </si>
  <si>
    <t>11 x 17 Paper Supplies:  1 million sheets at $13.36 per thousand ($6.68/ream)</t>
  </si>
  <si>
    <t>Division of IT Capital Refresh</t>
  </si>
  <si>
    <t>1 Year of Depreciation</t>
  </si>
  <si>
    <t>Warehousing/Storage of Toner*</t>
  </si>
  <si>
    <t>Human Resources Building</t>
  </si>
  <si>
    <t>Price Per Square Foot per Year</t>
  </si>
  <si>
    <t>Percentage of Total Storage</t>
  </si>
  <si>
    <t>DoIT Monthly Charges for Servers and Storage</t>
  </si>
  <si>
    <t>* Toner storage cost includes facilities maintenance, repair/refurbishing. The rate was calculated with Finance and Admin within the last 10 years.  The rate will be reevaluated in FY18.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</si>
</sst>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43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ahoma"/>
      <family val="2"/>
    </font>
    <font>
      <sz val="12"/>
      <name val="Arial MT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i/>
      <sz val="10"/>
      <color indexed="8"/>
      <name val="Tahoma"/>
    </font>
    <font>
      <sz val="10"/>
      <color indexed="81"/>
      <name val="Calibri"/>
    </font>
    <font>
      <sz val="8"/>
      <color rgb="FFFF0000"/>
      <name val="Tahoma"/>
      <family val="2"/>
    </font>
    <font>
      <sz val="9"/>
      <color rgb="FFFF0000"/>
      <name val="Tahoma"/>
      <family val="2"/>
    </font>
    <font>
      <sz val="11"/>
      <color rgb="FFFF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BA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7" fontId="4" fillId="0" borderId="0"/>
    <xf numFmtId="0" fontId="25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1" fillId="0" borderId="0"/>
  </cellStyleXfs>
  <cellXfs count="2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7" fontId="0" fillId="0" borderId="0" xfId="0" applyNumberFormat="1" applyAlignment="1">
      <alignment horizontal="right"/>
    </xf>
    <xf numFmtId="0" fontId="3" fillId="0" borderId="0" xfId="0" applyFont="1"/>
    <xf numFmtId="37" fontId="6" fillId="0" borderId="0" xfId="3" applyFont="1" applyProtection="1"/>
    <xf numFmtId="37" fontId="5" fillId="0" borderId="0" xfId="3" applyFont="1" applyAlignment="1" applyProtection="1">
      <alignment horizontal="center"/>
    </xf>
    <xf numFmtId="37" fontId="5" fillId="0" borderId="0" xfId="3" applyFont="1" applyProtection="1"/>
    <xf numFmtId="37" fontId="5" fillId="0" borderId="0" xfId="3" applyFont="1"/>
    <xf numFmtId="37" fontId="6" fillId="0" borderId="0" xfId="3" applyFont="1" applyAlignment="1" applyProtection="1">
      <alignment horizontal="right"/>
    </xf>
    <xf numFmtId="39" fontId="5" fillId="0" borderId="0" xfId="3" applyNumberFormat="1" applyFont="1" applyProtection="1"/>
    <xf numFmtId="37" fontId="5" fillId="0" borderId="0" xfId="3" applyFont="1" applyFill="1" applyBorder="1"/>
    <xf numFmtId="37" fontId="5" fillId="0" borderId="0" xfId="3" applyFont="1" applyAlignment="1" applyProtection="1">
      <alignment wrapText="1"/>
    </xf>
    <xf numFmtId="0" fontId="5" fillId="0" borderId="0" xfId="3" applyNumberFormat="1" applyFont="1" applyAlignment="1" applyProtection="1">
      <alignment horizontal="center"/>
    </xf>
    <xf numFmtId="37" fontId="5" fillId="0" borderId="2" xfId="3" applyFont="1" applyBorder="1" applyProtection="1"/>
    <xf numFmtId="37" fontId="5" fillId="0" borderId="2" xfId="3" applyFont="1" applyBorder="1" applyAlignment="1" applyProtection="1">
      <alignment horizontal="center"/>
    </xf>
    <xf numFmtId="37" fontId="5" fillId="0" borderId="0" xfId="3" quotePrefix="1" applyFont="1" applyProtection="1"/>
    <xf numFmtId="37" fontId="5" fillId="0" borderId="0" xfId="3" applyFont="1" applyAlignment="1">
      <alignment horizontal="center"/>
    </xf>
    <xf numFmtId="9" fontId="0" fillId="0" borderId="0" xfId="0" applyNumberFormat="1"/>
    <xf numFmtId="7" fontId="0" fillId="0" borderId="0" xfId="0" applyNumberFormat="1"/>
    <xf numFmtId="37" fontId="5" fillId="0" borderId="1" xfId="3" applyFont="1" applyBorder="1" applyProtection="1"/>
    <xf numFmtId="0" fontId="5" fillId="0" borderId="1" xfId="3" applyNumberFormat="1" applyFont="1" applyBorder="1" applyAlignment="1" applyProtection="1">
      <alignment horizontal="center"/>
    </xf>
    <xf numFmtId="37" fontId="9" fillId="0" borderId="0" xfId="3" applyFont="1" applyProtection="1"/>
    <xf numFmtId="37" fontId="10" fillId="0" borderId="0" xfId="3" applyFont="1" applyAlignment="1" applyProtection="1">
      <alignment horizontal="center"/>
    </xf>
    <xf numFmtId="37" fontId="10" fillId="0" borderId="0" xfId="3" applyFont="1" applyProtection="1"/>
    <xf numFmtId="37" fontId="10" fillId="0" borderId="0" xfId="3" applyFont="1"/>
    <xf numFmtId="0" fontId="0" fillId="0" borderId="1" xfId="0" applyBorder="1"/>
    <xf numFmtId="9" fontId="0" fillId="0" borderId="1" xfId="0" applyNumberFormat="1" applyBorder="1"/>
    <xf numFmtId="7" fontId="0" fillId="0" borderId="1" xfId="0" applyNumberFormat="1" applyBorder="1"/>
    <xf numFmtId="0" fontId="11" fillId="0" borderId="0" xfId="0" applyFont="1"/>
    <xf numFmtId="6" fontId="11" fillId="0" borderId="0" xfId="0" applyNumberFormat="1" applyFont="1"/>
    <xf numFmtId="0" fontId="0" fillId="0" borderId="0" xfId="0" applyFont="1"/>
    <xf numFmtId="0" fontId="12" fillId="0" borderId="0" xfId="0" applyFont="1"/>
    <xf numFmtId="6" fontId="12" fillId="0" borderId="0" xfId="0" applyNumberFormat="1" applyFont="1"/>
    <xf numFmtId="5" fontId="12" fillId="0" borderId="0" xfId="0" applyNumberFormat="1" applyFont="1"/>
    <xf numFmtId="37" fontId="0" fillId="0" borderId="0" xfId="0" applyNumberFormat="1"/>
    <xf numFmtId="5" fontId="11" fillId="0" borderId="0" xfId="0" applyNumberFormat="1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/>
    <xf numFmtId="5" fontId="12" fillId="0" borderId="2" xfId="0" applyNumberFormat="1" applyFont="1" applyBorder="1"/>
    <xf numFmtId="0" fontId="16" fillId="0" borderId="0" xfId="0" applyFont="1"/>
    <xf numFmtId="37" fontId="0" fillId="0" borderId="1" xfId="0" applyNumberFormat="1" applyBorder="1"/>
    <xf numFmtId="0" fontId="14" fillId="0" borderId="0" xfId="0" applyFont="1"/>
    <xf numFmtId="9" fontId="14" fillId="0" borderId="0" xfId="0" applyNumberFormat="1" applyFont="1"/>
    <xf numFmtId="0" fontId="14" fillId="0" borderId="0" xfId="0" applyFont="1" applyAlignment="1">
      <alignment horizontal="center"/>
    </xf>
    <xf numFmtId="37" fontId="14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9" fontId="14" fillId="0" borderId="2" xfId="0" applyNumberFormat="1" applyFont="1" applyBorder="1"/>
    <xf numFmtId="0" fontId="14" fillId="0" borderId="2" xfId="0" applyFont="1" applyBorder="1" applyAlignment="1">
      <alignment horizontal="center"/>
    </xf>
    <xf numFmtId="7" fontId="14" fillId="0" borderId="2" xfId="0" applyNumberFormat="1" applyFont="1" applyBorder="1"/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9" fontId="14" fillId="0" borderId="0" xfId="0" applyNumberFormat="1" applyFont="1" applyAlignment="1">
      <alignment horizontal="center"/>
    </xf>
    <xf numFmtId="7" fontId="14" fillId="0" borderId="0" xfId="0" applyNumberFormat="1" applyFont="1" applyAlignment="1">
      <alignment horizontal="center"/>
    </xf>
    <xf numFmtId="37" fontId="14" fillId="0" borderId="0" xfId="0" applyNumberFormat="1" applyFont="1" applyAlignment="1">
      <alignment horizontal="center"/>
    </xf>
    <xf numFmtId="9" fontId="14" fillId="0" borderId="1" xfId="0" applyNumberFormat="1" applyFont="1" applyBorder="1" applyAlignment="1">
      <alignment horizontal="center"/>
    </xf>
    <xf numFmtId="7" fontId="14" fillId="0" borderId="1" xfId="0" applyNumberFormat="1" applyFont="1" applyBorder="1" applyAlignment="1">
      <alignment horizontal="center"/>
    </xf>
    <xf numFmtId="37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Alignment="1">
      <alignment horizontal="left"/>
    </xf>
    <xf numFmtId="9" fontId="0" fillId="0" borderId="0" xfId="0" applyNumberFormat="1" applyFont="1"/>
    <xf numFmtId="7" fontId="0" fillId="0" borderId="0" xfId="0" applyNumberFormat="1" applyFont="1"/>
    <xf numFmtId="37" fontId="0" fillId="0" borderId="0" xfId="0" applyNumberFormat="1" applyFont="1"/>
    <xf numFmtId="5" fontId="12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7" fontId="0" fillId="0" borderId="1" xfId="0" applyNumberFormat="1" applyBorder="1" applyAlignment="1">
      <alignment horizontal="right"/>
    </xf>
    <xf numFmtId="0" fontId="15" fillId="0" borderId="1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42" fontId="19" fillId="0" borderId="0" xfId="0" applyNumberFormat="1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2" fontId="19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20" fillId="0" borderId="0" xfId="0" applyFont="1"/>
    <xf numFmtId="0" fontId="20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42" fontId="20" fillId="0" borderId="1" xfId="0" applyNumberFormat="1" applyFont="1" applyBorder="1" applyAlignment="1">
      <alignment horizontal="center" wrapText="1"/>
    </xf>
    <xf numFmtId="9" fontId="15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left"/>
    </xf>
    <xf numFmtId="37" fontId="16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37" fontId="15" fillId="0" borderId="0" xfId="0" applyNumberFormat="1" applyFont="1" applyAlignment="1">
      <alignment horizontal="center"/>
    </xf>
    <xf numFmtId="37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3" fillId="0" borderId="0" xfId="0" applyFont="1" applyBorder="1"/>
    <xf numFmtId="42" fontId="21" fillId="0" borderId="0" xfId="0" applyNumberFormat="1" applyFont="1"/>
    <xf numFmtId="0" fontId="22" fillId="0" borderId="0" xfId="0" applyFont="1" applyAlignment="1">
      <alignment horizontal="center" wrapText="1"/>
    </xf>
    <xf numFmtId="42" fontId="21" fillId="0" borderId="4" xfId="0" applyNumberFormat="1" applyFont="1" applyBorder="1"/>
    <xf numFmtId="0" fontId="21" fillId="0" borderId="0" xfId="0" applyFont="1" applyAlignment="1">
      <alignment wrapText="1"/>
    </xf>
    <xf numFmtId="0" fontId="20" fillId="0" borderId="0" xfId="0" applyFont="1" applyAlignment="1">
      <alignment horizontal="right"/>
    </xf>
    <xf numFmtId="42" fontId="20" fillId="0" borderId="0" xfId="0" applyNumberFormat="1" applyFont="1" applyAlignment="1">
      <alignment horizontal="right"/>
    </xf>
    <xf numFmtId="37" fontId="7" fillId="0" borderId="0" xfId="3" applyFont="1" applyAlignment="1" applyProtection="1">
      <alignment horizontal="center" wrapText="1"/>
    </xf>
    <xf numFmtId="37" fontId="6" fillId="0" borderId="0" xfId="3" applyFont="1" applyAlignment="1" applyProtection="1">
      <alignment horizontal="center" wrapText="1"/>
    </xf>
    <xf numFmtId="37" fontId="5" fillId="0" borderId="0" xfId="3" applyFont="1" applyAlignment="1">
      <alignment horizontal="center" wrapText="1"/>
    </xf>
    <xf numFmtId="44" fontId="5" fillId="0" borderId="0" xfId="3" applyNumberFormat="1" applyFont="1" applyProtection="1"/>
    <xf numFmtId="44" fontId="5" fillId="0" borderId="2" xfId="3" applyNumberFormat="1" applyFont="1" applyBorder="1" applyProtection="1"/>
    <xf numFmtId="44" fontId="6" fillId="0" borderId="2" xfId="3" applyNumberFormat="1" applyFont="1" applyBorder="1" applyProtection="1"/>
    <xf numFmtId="44" fontId="6" fillId="0" borderId="0" xfId="3" applyNumberFormat="1" applyFont="1" applyProtection="1"/>
    <xf numFmtId="44" fontId="5" fillId="0" borderId="0" xfId="3" applyNumberFormat="1" applyFont="1"/>
    <xf numFmtId="44" fontId="5" fillId="0" borderId="1" xfId="2" applyNumberFormat="1" applyFont="1" applyBorder="1" applyProtection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3" fillId="0" borderId="0" xfId="0" applyFont="1" applyBorder="1"/>
    <xf numFmtId="0" fontId="22" fillId="0" borderId="0" xfId="0" applyFont="1" applyBorder="1"/>
    <xf numFmtId="9" fontId="23" fillId="0" borderId="0" xfId="0" applyNumberFormat="1" applyFont="1" applyBorder="1" applyAlignment="1">
      <alignment horizontal="left"/>
    </xf>
    <xf numFmtId="9" fontId="22" fillId="0" borderId="0" xfId="0" applyNumberFormat="1" applyFont="1" applyBorder="1" applyAlignment="1">
      <alignment horizontal="left"/>
    </xf>
    <xf numFmtId="0" fontId="24" fillId="0" borderId="0" xfId="0" applyFont="1" applyBorder="1"/>
    <xf numFmtId="44" fontId="24" fillId="0" borderId="0" xfId="0" applyNumberFormat="1" applyFont="1" applyBorder="1"/>
    <xf numFmtId="44" fontId="23" fillId="0" borderId="0" xfId="0" applyNumberFormat="1" applyFont="1" applyBorder="1"/>
    <xf numFmtId="37" fontId="23" fillId="0" borderId="0" xfId="0" applyNumberFormat="1" applyFont="1" applyBorder="1"/>
    <xf numFmtId="37" fontId="24" fillId="0" borderId="0" xfId="0" applyNumberFormat="1" applyFont="1" applyBorder="1"/>
    <xf numFmtId="9" fontId="24" fillId="0" borderId="0" xfId="0" applyNumberFormat="1" applyFont="1" applyBorder="1"/>
    <xf numFmtId="9" fontId="23" fillId="0" borderId="0" xfId="0" applyNumberFormat="1" applyFont="1" applyBorder="1"/>
    <xf numFmtId="9" fontId="21" fillId="0" borderId="0" xfId="0" applyNumberFormat="1" applyFont="1" applyBorder="1" applyAlignment="1">
      <alignment horizontal="center"/>
    </xf>
    <xf numFmtId="0" fontId="24" fillId="0" borderId="1" xfId="0" applyFont="1" applyBorder="1"/>
    <xf numFmtId="0" fontId="23" fillId="0" borderId="4" xfId="0" applyFont="1" applyBorder="1"/>
    <xf numFmtId="0" fontId="23" fillId="0" borderId="5" xfId="0" applyFont="1" applyBorder="1"/>
    <xf numFmtId="0" fontId="23" fillId="0" borderId="19" xfId="0" applyFont="1" applyBorder="1"/>
    <xf numFmtId="0" fontId="24" fillId="0" borderId="6" xfId="0" applyFont="1" applyBorder="1" applyAlignment="1">
      <alignment horizontal="center"/>
    </xf>
    <xf numFmtId="0" fontId="23" fillId="0" borderId="18" xfId="0" applyFont="1" applyBorder="1"/>
    <xf numFmtId="0" fontId="24" fillId="0" borderId="5" xfId="0" applyFont="1" applyBorder="1"/>
    <xf numFmtId="0" fontId="24" fillId="0" borderId="19" xfId="0" applyFont="1" applyBorder="1"/>
    <xf numFmtId="0" fontId="23" fillId="0" borderId="6" xfId="0" applyFont="1" applyBorder="1" applyAlignment="1">
      <alignment horizontal="center"/>
    </xf>
    <xf numFmtId="0" fontId="23" fillId="0" borderId="3" xfId="0" applyFont="1" applyBorder="1"/>
    <xf numFmtId="0" fontId="23" fillId="0" borderId="9" xfId="0" applyFont="1" applyBorder="1" applyAlignment="1">
      <alignment horizontal="center"/>
    </xf>
    <xf numFmtId="0" fontId="24" fillId="0" borderId="3" xfId="0" applyFont="1" applyBorder="1"/>
    <xf numFmtId="44" fontId="24" fillId="0" borderId="3" xfId="0" applyNumberFormat="1" applyFont="1" applyBorder="1"/>
    <xf numFmtId="44" fontId="23" fillId="0" borderId="9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/>
    <xf numFmtId="0" fontId="23" fillId="0" borderId="12" xfId="0" applyFont="1" applyBorder="1" applyAlignment="1">
      <alignment horizontal="center"/>
    </xf>
    <xf numFmtId="37" fontId="24" fillId="0" borderId="3" xfId="0" applyNumberFormat="1" applyFont="1" applyBorder="1"/>
    <xf numFmtId="37" fontId="23" fillId="0" borderId="9" xfId="0" applyNumberFormat="1" applyFont="1" applyBorder="1" applyAlignment="1">
      <alignment horizontal="center"/>
    </xf>
    <xf numFmtId="9" fontId="24" fillId="0" borderId="3" xfId="0" applyNumberFormat="1" applyFont="1" applyBorder="1"/>
    <xf numFmtId="9" fontId="23" fillId="0" borderId="9" xfId="0" applyNumberFormat="1" applyFont="1" applyBorder="1" applyAlignment="1">
      <alignment horizontal="center"/>
    </xf>
    <xf numFmtId="37" fontId="22" fillId="0" borderId="3" xfId="0" applyNumberFormat="1" applyFont="1" applyBorder="1"/>
    <xf numFmtId="37" fontId="21" fillId="0" borderId="9" xfId="0" applyNumberFormat="1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28" fillId="0" borderId="15" xfId="0" applyFont="1" applyBorder="1"/>
    <xf numFmtId="44" fontId="28" fillId="0" borderId="15" xfId="5" applyFont="1" applyBorder="1"/>
    <xf numFmtId="44" fontId="28" fillId="0" borderId="17" xfId="5" applyFont="1" applyBorder="1"/>
    <xf numFmtId="44" fontId="28" fillId="0" borderId="16" xfId="5" applyFont="1" applyBorder="1"/>
    <xf numFmtId="0" fontId="29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/>
    <xf numFmtId="3" fontId="30" fillId="0" borderId="0" xfId="0" applyNumberFormat="1" applyFont="1"/>
    <xf numFmtId="164" fontId="30" fillId="0" borderId="17" xfId="0" applyNumberFormat="1" applyFont="1" applyBorder="1"/>
    <xf numFmtId="0" fontId="28" fillId="0" borderId="0" xfId="0" applyFont="1"/>
    <xf numFmtId="49" fontId="5" fillId="0" borderId="0" xfId="3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right"/>
    </xf>
    <xf numFmtId="37" fontId="5" fillId="0" borderId="1" xfId="3" applyFont="1" applyFill="1" applyBorder="1"/>
    <xf numFmtId="49" fontId="5" fillId="0" borderId="1" xfId="3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right"/>
    </xf>
    <xf numFmtId="44" fontId="5" fillId="0" borderId="1" xfId="3" applyNumberFormat="1" applyFont="1" applyBorder="1" applyProtection="1"/>
    <xf numFmtId="44" fontId="5" fillId="0" borderId="0" xfId="3" applyNumberFormat="1" applyFont="1" applyBorder="1" applyProtection="1"/>
    <xf numFmtId="44" fontId="3" fillId="0" borderId="0" xfId="0" applyNumberFormat="1" applyFont="1" applyAlignment="1">
      <alignment horizontal="center"/>
    </xf>
    <xf numFmtId="44" fontId="9" fillId="0" borderId="0" xfId="3" applyNumberFormat="1" applyFont="1" applyAlignment="1" applyProtection="1">
      <alignment horizontal="center"/>
    </xf>
    <xf numFmtId="44" fontId="10" fillId="0" borderId="0" xfId="3" applyNumberFormat="1" applyFont="1" applyProtection="1"/>
    <xf numFmtId="44" fontId="6" fillId="0" borderId="0" xfId="3" applyNumberFormat="1" applyFont="1" applyAlignment="1" applyProtection="1">
      <alignment horizontal="right"/>
    </xf>
    <xf numFmtId="44" fontId="7" fillId="0" borderId="0" xfId="3" applyNumberFormat="1" applyFont="1" applyAlignment="1" applyProtection="1">
      <alignment horizontal="center" wrapText="1"/>
    </xf>
    <xf numFmtId="37" fontId="6" fillId="0" borderId="2" xfId="3" applyFont="1" applyBorder="1" applyProtection="1"/>
    <xf numFmtId="49" fontId="5" fillId="0" borderId="0" xfId="3" quotePrefix="1" applyNumberFormat="1" applyFont="1" applyFill="1" applyBorder="1" applyAlignment="1">
      <alignment horizontal="center"/>
    </xf>
    <xf numFmtId="0" fontId="18" fillId="0" borderId="0" xfId="0" applyFont="1" applyBorder="1"/>
    <xf numFmtId="164" fontId="28" fillId="0" borderId="0" xfId="0" applyNumberFormat="1" applyFont="1" applyBorder="1"/>
    <xf numFmtId="37" fontId="5" fillId="0" borderId="0" xfId="3" applyFont="1" applyProtection="1"/>
    <xf numFmtId="37" fontId="5" fillId="0" borderId="0" xfId="3" applyFont="1"/>
    <xf numFmtId="37" fontId="5" fillId="0" borderId="0" xfId="3" applyFont="1" applyFill="1" applyBorder="1"/>
    <xf numFmtId="7" fontId="0" fillId="0" borderId="0" xfId="0" applyNumberFormat="1" applyBorder="1"/>
    <xf numFmtId="37" fontId="0" fillId="0" borderId="0" xfId="0" applyNumberFormat="1" applyBorder="1"/>
    <xf numFmtId="9" fontId="0" fillId="0" borderId="0" xfId="0" applyNumberFormat="1" applyBorder="1"/>
    <xf numFmtId="0" fontId="0" fillId="0" borderId="0" xfId="0" applyBorder="1" applyAlignment="1">
      <alignment horizontal="center"/>
    </xf>
    <xf numFmtId="42" fontId="18" fillId="0" borderId="1" xfId="0" applyNumberFormat="1" applyFont="1" applyBorder="1" applyAlignment="1">
      <alignment horizontal="center" wrapText="1"/>
    </xf>
    <xf numFmtId="44" fontId="28" fillId="0" borderId="15" xfId="5" applyNumberFormat="1" applyFont="1" applyBorder="1"/>
    <xf numFmtId="44" fontId="28" fillId="0" borderId="16" xfId="5" applyNumberFormat="1" applyFont="1" applyBorder="1"/>
    <xf numFmtId="0" fontId="28" fillId="0" borderId="0" xfId="0" applyFont="1" applyBorder="1"/>
    <xf numFmtId="44" fontId="28" fillId="0" borderId="0" xfId="0" applyNumberFormat="1" applyFont="1" applyBorder="1"/>
    <xf numFmtId="0" fontId="29" fillId="0" borderId="0" xfId="0" applyFont="1" applyBorder="1"/>
    <xf numFmtId="44" fontId="0" fillId="0" borderId="0" xfId="0" applyNumberFormat="1"/>
    <xf numFmtId="0" fontId="11" fillId="0" borderId="0" xfId="0" applyFont="1"/>
    <xf numFmtId="0" fontId="19" fillId="0" borderId="0" xfId="0" applyFont="1"/>
    <xf numFmtId="42" fontId="19" fillId="0" borderId="0" xfId="0" applyNumberFormat="1" applyFont="1"/>
    <xf numFmtId="0" fontId="19" fillId="0" borderId="0" xfId="0" applyFont="1" applyAlignment="1">
      <alignment horizontal="center"/>
    </xf>
    <xf numFmtId="42" fontId="19" fillId="0" borderId="1" xfId="0" applyNumberFormat="1" applyFont="1" applyBorder="1"/>
    <xf numFmtId="42" fontId="19" fillId="0" borderId="0" xfId="0" applyNumberFormat="1" applyFont="1" applyBorder="1"/>
    <xf numFmtId="42" fontId="21" fillId="0" borderId="0" xfId="0" applyNumberFormat="1" applyFont="1"/>
    <xf numFmtId="42" fontId="21" fillId="0" borderId="1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4" fontId="19" fillId="0" borderId="0" xfId="0" applyNumberFormat="1" applyFont="1" applyBorder="1"/>
    <xf numFmtId="42" fontId="21" fillId="0" borderId="0" xfId="0" applyNumberFormat="1" applyFont="1" applyBorder="1"/>
    <xf numFmtId="0" fontId="11" fillId="0" borderId="0" xfId="0" applyFont="1"/>
    <xf numFmtId="5" fontId="11" fillId="0" borderId="0" xfId="0" applyNumberFormat="1" applyFont="1"/>
    <xf numFmtId="5" fontId="11" fillId="0" borderId="1" xfId="0" applyNumberFormat="1" applyFont="1" applyBorder="1"/>
    <xf numFmtId="5" fontId="11" fillId="0" borderId="0" xfId="0" applyNumberFormat="1" applyFont="1" applyBorder="1"/>
    <xf numFmtId="37" fontId="28" fillId="0" borderId="15" xfId="0" applyNumberFormat="1" applyFont="1" applyBorder="1"/>
    <xf numFmtId="0" fontId="28" fillId="0" borderId="14" xfId="0" applyFont="1" applyBorder="1"/>
    <xf numFmtId="0" fontId="22" fillId="0" borderId="7" xfId="0" applyFont="1" applyBorder="1"/>
    <xf numFmtId="0" fontId="22" fillId="0" borderId="18" xfId="0" applyFont="1" applyBorder="1"/>
    <xf numFmtId="0" fontId="21" fillId="0" borderId="8" xfId="0" applyFont="1" applyBorder="1" applyAlignment="1">
      <alignment horizontal="center"/>
    </xf>
    <xf numFmtId="37" fontId="10" fillId="0" borderId="0" xfId="3" applyFont="1" applyFill="1" applyBorder="1"/>
    <xf numFmtId="0" fontId="12" fillId="0" borderId="1" xfId="0" quotePrefix="1" applyFont="1" applyBorder="1" applyAlignment="1">
      <alignment horizontal="center"/>
    </xf>
    <xf numFmtId="6" fontId="11" fillId="0" borderId="0" xfId="0" applyNumberFormat="1" applyFont="1" applyBorder="1"/>
    <xf numFmtId="6" fontId="12" fillId="0" borderId="2" xfId="0" applyNumberFormat="1" applyFont="1" applyBorder="1"/>
    <xf numFmtId="37" fontId="22" fillId="0" borderId="0" xfId="0" applyNumberFormat="1" applyFont="1" applyBorder="1"/>
    <xf numFmtId="9" fontId="22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7" fillId="0" borderId="0" xfId="0" applyFont="1"/>
    <xf numFmtId="7" fontId="28" fillId="0" borderId="15" xfId="5" applyNumberFormat="1" applyFont="1" applyBorder="1"/>
    <xf numFmtId="37" fontId="12" fillId="0" borderId="3" xfId="0" applyNumberFormat="1" applyFont="1" applyBorder="1"/>
    <xf numFmtId="37" fontId="17" fillId="0" borderId="3" xfId="0" applyNumberFormat="1" applyFont="1" applyBorder="1"/>
    <xf numFmtId="37" fontId="32" fillId="0" borderId="0" xfId="0" applyNumberFormat="1" applyFont="1" applyBorder="1"/>
    <xf numFmtId="37" fontId="17" fillId="0" borderId="9" xfId="0" applyNumberFormat="1" applyFont="1" applyBorder="1" applyAlignment="1">
      <alignment horizontal="center"/>
    </xf>
    <xf numFmtId="0" fontId="33" fillId="0" borderId="0" xfId="0" applyFont="1"/>
    <xf numFmtId="164" fontId="34" fillId="2" borderId="17" xfId="0" applyNumberFormat="1" applyFont="1" applyFill="1" applyBorder="1"/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5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9" fillId="0" borderId="0" xfId="0" applyFont="1" applyFill="1" applyBorder="1"/>
    <xf numFmtId="44" fontId="28" fillId="0" borderId="0" xfId="0" applyNumberFormat="1" applyFont="1" applyFill="1" applyBorder="1"/>
    <xf numFmtId="164" fontId="28" fillId="0" borderId="0" xfId="0" applyNumberFormat="1" applyFont="1" applyFill="1" applyBorder="1"/>
    <xf numFmtId="0" fontId="16" fillId="0" borderId="0" xfId="0" applyFont="1" applyFill="1" applyBorder="1"/>
    <xf numFmtId="6" fontId="12" fillId="0" borderId="0" xfId="0" applyNumberFormat="1" applyFont="1" applyBorder="1"/>
    <xf numFmtId="9" fontId="27" fillId="0" borderId="0" xfId="0" applyNumberFormat="1" applyFont="1" applyAlignment="1">
      <alignment horizontal="center"/>
    </xf>
    <xf numFmtId="7" fontId="28" fillId="0" borderId="17" xfId="5" applyNumberFormat="1" applyFont="1" applyBorder="1"/>
    <xf numFmtId="5" fontId="28" fillId="0" borderId="15" xfId="5" applyNumberFormat="1" applyFont="1" applyBorder="1"/>
    <xf numFmtId="0" fontId="29" fillId="0" borderId="0" xfId="0" applyFont="1"/>
    <xf numFmtId="3" fontId="27" fillId="0" borderId="0" xfId="0" applyNumberFormat="1" applyFont="1" applyAlignment="1">
      <alignment horizontal="center"/>
    </xf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42" fontId="20" fillId="0" borderId="0" xfId="0" applyNumberFormat="1" applyFont="1" applyBorder="1" applyAlignment="1">
      <alignment horizontal="center" wrapText="1"/>
    </xf>
    <xf numFmtId="42" fontId="18" fillId="0" borderId="0" xfId="0" applyNumberFormat="1" applyFont="1" applyBorder="1" applyAlignment="1">
      <alignment horizontal="center" wrapText="1"/>
    </xf>
    <xf numFmtId="42" fontId="21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2" fillId="0" borderId="1" xfId="0" applyFont="1" applyBorder="1"/>
    <xf numFmtId="37" fontId="28" fillId="0" borderId="0" xfId="0" applyNumberFormat="1" applyFont="1" applyBorder="1"/>
    <xf numFmtId="9" fontId="12" fillId="0" borderId="1" xfId="0" applyNumberFormat="1" applyFont="1" applyBorder="1" applyAlignment="1">
      <alignment horizontal="center" wrapText="1"/>
    </xf>
    <xf numFmtId="7" fontId="16" fillId="0" borderId="0" xfId="0" applyNumberFormat="1" applyFont="1"/>
    <xf numFmtId="7" fontId="15" fillId="0" borderId="0" xfId="0" applyNumberFormat="1" applyFont="1"/>
    <xf numFmtId="7" fontId="15" fillId="0" borderId="1" xfId="0" applyNumberFormat="1" applyFont="1" applyBorder="1"/>
    <xf numFmtId="7" fontId="28" fillId="0" borderId="15" xfId="6" applyNumberFormat="1" applyFont="1" applyBorder="1"/>
    <xf numFmtId="37" fontId="3" fillId="0" borderId="1" xfId="0" applyNumberFormat="1" applyFont="1" applyBorder="1" applyAlignment="1">
      <alignment horizontal="left"/>
    </xf>
    <xf numFmtId="0" fontId="18" fillId="0" borderId="0" xfId="0" applyFont="1" applyAlignment="1">
      <alignment horizontal="right"/>
    </xf>
    <xf numFmtId="0" fontId="35" fillId="0" borderId="0" xfId="0" applyFont="1"/>
    <xf numFmtId="0" fontId="28" fillId="0" borderId="1" xfId="0" applyFont="1" applyBorder="1" applyAlignment="1">
      <alignment horizontal="center"/>
    </xf>
    <xf numFmtId="0" fontId="11" fillId="3" borderId="0" xfId="0" applyFont="1" applyFill="1"/>
    <xf numFmtId="6" fontId="11" fillId="3" borderId="0" xfId="0" applyNumberFormat="1" applyFont="1" applyFill="1"/>
    <xf numFmtId="5" fontId="11" fillId="3" borderId="0" xfId="0" applyNumberFormat="1" applyFont="1" applyFill="1" applyBorder="1"/>
    <xf numFmtId="5" fontId="11" fillId="3" borderId="1" xfId="0" applyNumberFormat="1" applyFont="1" applyFill="1" applyBorder="1"/>
    <xf numFmtId="6" fontId="11" fillId="3" borderId="0" xfId="0" applyNumberFormat="1" applyFont="1" applyFill="1" applyBorder="1"/>
    <xf numFmtId="6" fontId="15" fillId="0" borderId="0" xfId="0" applyNumberFormat="1" applyFont="1"/>
    <xf numFmtId="0" fontId="38" fillId="0" borderId="0" xfId="0" applyFont="1"/>
    <xf numFmtId="44" fontId="38" fillId="0" borderId="0" xfId="0" applyNumberFormat="1" applyFont="1" applyBorder="1"/>
    <xf numFmtId="0" fontId="39" fillId="0" borderId="0" xfId="0" applyFont="1"/>
    <xf numFmtId="7" fontId="0" fillId="0" borderId="0" xfId="0" applyNumberFormat="1" applyFill="1"/>
    <xf numFmtId="0" fontId="4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</cellXfs>
  <cellStyles count="15">
    <cellStyle name="Comma 3" xfId="1"/>
    <cellStyle name="Currency" xfId="5" builtinId="4"/>
    <cellStyle name="Currency 3" xfId="2"/>
    <cellStyle name="Normal" xfId="0" builtinId="0"/>
    <cellStyle name="Normal 16" xfId="10"/>
    <cellStyle name="Normal 16 2" xfId="11"/>
    <cellStyle name="Normal 16 2 2" xfId="14"/>
    <cellStyle name="Normal 16 3" xfId="12"/>
    <cellStyle name="Normal 2" xfId="3"/>
    <cellStyle name="Normal 2 2" xfId="9"/>
    <cellStyle name="Normal 3" xfId="4"/>
    <cellStyle name="Normal 3 2" xfId="7"/>
    <cellStyle name="Normal 3 2 2" xfId="13"/>
    <cellStyle name="Normal 4" xfId="8"/>
    <cellStyle name="Percent" xfId="6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externalLink" Target="externalLinks/externalLink3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1766542/Desktop/H:/A%20Month%20End%20Worksheets/FY%202011/DocSvcs%20%20-%20UD58070/FY%2011%20Budget/Schedule%20D%20-%20Labor%20-%20Direct%20&amp;%20Indirect%20(Personnel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1766542/Desktop/H:/A%20Month%20End%20Worksheets/FY%202011/DocSvcs%20%20-%20UD58070/FY%2011%20Budget/All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1766542/Desktop/H:/A%20Month%20End%20Worksheets/FY%202010/UD58070--DS%20Operating/FY%202010%20Budgeted%20Hourly%20Rates,%20etc/FY01NIUD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u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D-Labor"/>
      <sheetName val="Sch G-BHR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L50"/>
  <sheetViews>
    <sheetView tabSelected="1" topLeftCell="A24" zoomScale="148" zoomScaleNormal="148" zoomScalePageLayoutView="148" workbookViewId="0"/>
  </sheetViews>
  <sheetFormatPr baseColWidth="10" defaultColWidth="8.83203125" defaultRowHeight="14" x14ac:dyDescent="0.15"/>
  <cols>
    <col min="1" max="1" width="2.83203125" customWidth="1"/>
    <col min="2" max="2" width="2.6640625" customWidth="1"/>
    <col min="3" max="3" width="30.6640625" customWidth="1"/>
    <col min="4" max="4" width="6.6640625" customWidth="1"/>
    <col min="5" max="5" width="1.6640625" customWidth="1"/>
    <col min="6" max="6" width="16.83203125" customWidth="1"/>
    <col min="7" max="7" width="2.1640625" customWidth="1"/>
    <col min="8" max="8" width="19.6640625" customWidth="1"/>
    <col min="9" max="9" width="2.1640625" customWidth="1"/>
    <col min="10" max="10" width="15.6640625" style="168" customWidth="1"/>
    <col min="11" max="11" width="13.33203125" style="168" hidden="1" customWidth="1"/>
    <col min="12" max="12" width="11.83203125" style="168" customWidth="1"/>
  </cols>
  <sheetData>
    <row r="1" spans="1:12" x14ac:dyDescent="0.15">
      <c r="A1" s="72" t="s">
        <v>13</v>
      </c>
      <c r="B1" s="39"/>
      <c r="F1" s="67"/>
    </row>
    <row r="2" spans="1:12" x14ac:dyDescent="0.15">
      <c r="A2" s="72" t="s">
        <v>109</v>
      </c>
      <c r="B2" s="39"/>
      <c r="G2" s="67" t="s">
        <v>125</v>
      </c>
    </row>
    <row r="3" spans="1:12" x14ac:dyDescent="0.15">
      <c r="A3" s="100" t="s">
        <v>108</v>
      </c>
      <c r="B3" s="39"/>
      <c r="C3" s="67"/>
      <c r="D3" s="39"/>
    </row>
    <row r="4" spans="1:12" x14ac:dyDescent="0.15">
      <c r="F4" s="164"/>
      <c r="G4" s="165"/>
      <c r="H4" s="166">
        <v>14000000</v>
      </c>
      <c r="J4" s="249" t="s">
        <v>147</v>
      </c>
      <c r="L4" s="275"/>
    </row>
    <row r="5" spans="1:12" x14ac:dyDescent="0.15">
      <c r="F5" s="164"/>
      <c r="G5" s="165"/>
      <c r="H5" s="166">
        <v>2000000</v>
      </c>
      <c r="J5" s="249" t="s">
        <v>148</v>
      </c>
    </row>
    <row r="7" spans="1:12" x14ac:dyDescent="0.15">
      <c r="A7" s="100" t="s">
        <v>168</v>
      </c>
      <c r="B7" s="117"/>
      <c r="C7" s="117"/>
      <c r="D7" s="116"/>
      <c r="F7" s="162"/>
      <c r="H7" s="162"/>
      <c r="J7" s="250"/>
    </row>
    <row r="8" spans="1:12" ht="15" thickBot="1" x14ac:dyDescent="0.2">
      <c r="A8" s="120"/>
      <c r="B8" s="121"/>
      <c r="C8" s="121"/>
      <c r="D8" s="129"/>
      <c r="F8" s="246">
        <v>0.75</v>
      </c>
      <c r="G8" s="246"/>
      <c r="H8" s="246">
        <f>1-F8</f>
        <v>0.25</v>
      </c>
    </row>
    <row r="9" spans="1:12" x14ac:dyDescent="0.15">
      <c r="A9" s="132"/>
      <c r="B9" s="133"/>
      <c r="C9" s="133"/>
      <c r="D9" s="134"/>
      <c r="F9" s="161" t="s">
        <v>147</v>
      </c>
      <c r="H9" s="161" t="s">
        <v>148</v>
      </c>
      <c r="J9" s="195"/>
      <c r="K9" s="195"/>
      <c r="L9" s="195"/>
    </row>
    <row r="10" spans="1:12" ht="15" thickBot="1" x14ac:dyDescent="0.2">
      <c r="A10" s="153" t="s">
        <v>39</v>
      </c>
      <c r="B10" s="135"/>
      <c r="C10" s="135"/>
      <c r="D10" s="154" t="s">
        <v>88</v>
      </c>
      <c r="F10" s="163" t="s">
        <v>125</v>
      </c>
      <c r="H10" s="163" t="s">
        <v>125</v>
      </c>
      <c r="J10" s="235"/>
      <c r="K10" s="268" t="s">
        <v>123</v>
      </c>
      <c r="L10" s="236"/>
    </row>
    <row r="11" spans="1:12" x14ac:dyDescent="0.15">
      <c r="A11" s="136"/>
      <c r="B11" s="137"/>
      <c r="C11" s="137"/>
      <c r="D11" s="138"/>
      <c r="F11" s="157"/>
      <c r="H11" s="157"/>
      <c r="J11" s="197"/>
      <c r="K11" s="196"/>
      <c r="L11" s="196"/>
    </row>
    <row r="12" spans="1:12" x14ac:dyDescent="0.15">
      <c r="A12" s="139" t="s">
        <v>52</v>
      </c>
      <c r="B12" s="122"/>
      <c r="C12" s="122"/>
      <c r="D12" s="140"/>
      <c r="F12" s="157"/>
      <c r="H12" s="157"/>
      <c r="J12" s="195"/>
      <c r="K12" s="184"/>
      <c r="L12" s="276"/>
    </row>
    <row r="13" spans="1:12" x14ac:dyDescent="0.15">
      <c r="A13" s="141"/>
      <c r="B13" s="118" t="s">
        <v>44</v>
      </c>
      <c r="C13" s="122"/>
      <c r="D13" s="140"/>
      <c r="F13" s="157"/>
      <c r="H13" s="157"/>
      <c r="J13" s="195"/>
      <c r="K13" s="184"/>
      <c r="L13" s="196"/>
    </row>
    <row r="14" spans="1:12" x14ac:dyDescent="0.15">
      <c r="A14" s="141"/>
      <c r="B14" s="118"/>
      <c r="C14" s="122" t="s">
        <v>81</v>
      </c>
      <c r="D14" s="140" t="s">
        <v>50</v>
      </c>
      <c r="F14" s="193">
        <f>'Sch C-EquipReserve'!J7*$F$8</f>
        <v>0</v>
      </c>
      <c r="H14" s="193">
        <f>'Sch C-EquipReserve'!J7*$H$8</f>
        <v>0</v>
      </c>
      <c r="J14" s="197"/>
      <c r="K14" s="196">
        <f>SUM(F14:H14)-'Sch C-EquipReserve'!J7</f>
        <v>0</v>
      </c>
      <c r="L14" s="276"/>
    </row>
    <row r="15" spans="1:12" x14ac:dyDescent="0.15">
      <c r="A15" s="142"/>
      <c r="B15" s="124"/>
      <c r="C15" s="123" t="s">
        <v>77</v>
      </c>
      <c r="D15" s="143" t="s">
        <v>49</v>
      </c>
      <c r="F15" s="193">
        <f>'Sch E-ContractsExpenses'!E13*$F$8</f>
        <v>413925</v>
      </c>
      <c r="H15" s="248">
        <f>'Sch E-ContractsExpenses'!E13*$H$8</f>
        <v>137975</v>
      </c>
      <c r="J15" s="195"/>
      <c r="K15" s="196">
        <f>SUM(F15:H15)-'Sch E-ContractsExpenses'!E13</f>
        <v>0</v>
      </c>
      <c r="L15" s="196"/>
    </row>
    <row r="16" spans="1:12" x14ac:dyDescent="0.15">
      <c r="A16" s="141"/>
      <c r="B16" s="118"/>
      <c r="C16" s="122"/>
      <c r="D16" s="140"/>
      <c r="F16" s="193"/>
      <c r="H16" s="193"/>
      <c r="J16" s="195"/>
      <c r="K16" s="195"/>
      <c r="L16" s="195"/>
    </row>
    <row r="17" spans="1:12" x14ac:dyDescent="0.15">
      <c r="A17" s="141"/>
      <c r="B17" s="118" t="s">
        <v>45</v>
      </c>
      <c r="C17" s="122"/>
      <c r="D17" s="140"/>
      <c r="F17" s="193"/>
      <c r="H17" s="193"/>
      <c r="J17" s="195"/>
      <c r="K17" s="184"/>
      <c r="L17" s="196"/>
    </row>
    <row r="18" spans="1:12" x14ac:dyDescent="0.15">
      <c r="A18" s="141"/>
      <c r="B18" s="122"/>
      <c r="C18" s="122" t="s">
        <v>41</v>
      </c>
      <c r="D18" s="140" t="s">
        <v>48</v>
      </c>
      <c r="F18" s="193">
        <f>'Sch B-Labor'!K55*$F$8</f>
        <v>92341.031699999992</v>
      </c>
      <c r="H18" s="193">
        <f>'Sch B-Labor'!K55*$H$8</f>
        <v>30780.3439</v>
      </c>
      <c r="J18" s="195"/>
      <c r="K18" s="196">
        <f>SUM(F18:H18)-'Sch B-Labor'!K55</f>
        <v>0</v>
      </c>
      <c r="L18" s="196"/>
    </row>
    <row r="19" spans="1:12" x14ac:dyDescent="0.15">
      <c r="A19" s="141"/>
      <c r="B19" s="118"/>
      <c r="C19" s="258" t="s">
        <v>152</v>
      </c>
      <c r="D19" s="144" t="s">
        <v>49</v>
      </c>
      <c r="F19" s="194">
        <f>'Sch E-ContractsExpenses'!E20*$F$8</f>
        <v>85170</v>
      </c>
      <c r="H19" s="194">
        <f>'Sch E-ContractsExpenses'!E20*$H$8</f>
        <v>28390</v>
      </c>
      <c r="J19" s="195"/>
      <c r="K19" s="196">
        <f>SUM(F19:H19)-'Sch E-ContractsExpenses'!E20</f>
        <v>0</v>
      </c>
      <c r="L19" s="196"/>
    </row>
    <row r="20" spans="1:12" x14ac:dyDescent="0.15">
      <c r="A20" s="141"/>
      <c r="B20" s="122"/>
      <c r="C20" s="122"/>
      <c r="D20" s="140"/>
      <c r="F20" s="158"/>
      <c r="H20" s="158"/>
      <c r="J20" s="195"/>
      <c r="K20" s="184"/>
      <c r="L20" s="196"/>
    </row>
    <row r="21" spans="1:12" ht="15" thickBot="1" x14ac:dyDescent="0.2">
      <c r="A21" s="145" t="s">
        <v>55</v>
      </c>
      <c r="B21" s="131"/>
      <c r="C21" s="131"/>
      <c r="D21" s="146"/>
      <c r="F21" s="159">
        <f>SUM(F14:F19)</f>
        <v>591436.03169999993</v>
      </c>
      <c r="H21" s="159">
        <f>SUM(H14:H19)</f>
        <v>197145.34390000001</v>
      </c>
      <c r="J21" s="195"/>
      <c r="K21" s="184"/>
      <c r="L21" s="276"/>
    </row>
    <row r="22" spans="1:12" ht="15" thickTop="1" x14ac:dyDescent="0.15">
      <c r="A22" s="139"/>
      <c r="B22" s="118"/>
      <c r="C22" s="118"/>
      <c r="D22" s="140"/>
      <c r="F22" s="157"/>
      <c r="H22" s="157"/>
      <c r="J22" s="195"/>
      <c r="K22" s="184"/>
      <c r="L22" s="196"/>
    </row>
    <row r="23" spans="1:12" ht="15" thickBot="1" x14ac:dyDescent="0.2">
      <c r="A23" s="229" t="s">
        <v>141</v>
      </c>
      <c r="B23" s="118"/>
      <c r="C23" s="118"/>
      <c r="D23" s="140"/>
      <c r="F23" s="167">
        <f>F21/$H$4</f>
        <v>4.2245430835714283E-2</v>
      </c>
      <c r="H23" s="167">
        <f>H21/$H$5</f>
        <v>9.857267195000001E-2</v>
      </c>
      <c r="J23" s="197"/>
      <c r="K23" s="184"/>
      <c r="L23" s="196"/>
    </row>
    <row r="24" spans="1:12" ht="15" thickTop="1" x14ac:dyDescent="0.15">
      <c r="A24" s="139"/>
      <c r="B24" s="118"/>
      <c r="C24" s="118"/>
      <c r="D24" s="140"/>
      <c r="F24" s="157"/>
      <c r="H24" s="157"/>
      <c r="J24" s="195"/>
      <c r="K24" s="184"/>
      <c r="L24" s="196"/>
    </row>
    <row r="25" spans="1:12" x14ac:dyDescent="0.15">
      <c r="A25" s="141"/>
      <c r="B25" s="122"/>
      <c r="C25" s="122"/>
      <c r="D25" s="140"/>
      <c r="F25" s="157"/>
      <c r="H25" s="157"/>
      <c r="J25" s="195"/>
      <c r="K25" s="195"/>
      <c r="L25" s="195"/>
    </row>
    <row r="26" spans="1:12" x14ac:dyDescent="0.15">
      <c r="A26" s="139" t="s">
        <v>53</v>
      </c>
      <c r="B26" s="122"/>
      <c r="C26" s="122"/>
      <c r="D26" s="140"/>
      <c r="F26" s="157"/>
      <c r="H26" s="157"/>
    </row>
    <row r="27" spans="1:12" x14ac:dyDescent="0.15">
      <c r="A27" s="141"/>
      <c r="B27" s="118" t="s">
        <v>44</v>
      </c>
      <c r="C27" s="122"/>
      <c r="D27" s="140"/>
      <c r="F27" s="157"/>
      <c r="H27" s="157"/>
    </row>
    <row r="28" spans="1:12" x14ac:dyDescent="0.15">
      <c r="A28" s="147"/>
      <c r="B28" s="125"/>
      <c r="C28" s="224" t="s">
        <v>128</v>
      </c>
      <c r="D28" s="148" t="s">
        <v>51</v>
      </c>
      <c r="F28" s="215">
        <f>'Sch D-Occupancy'!D13*$F$8</f>
        <v>112.5</v>
      </c>
      <c r="H28" s="215">
        <f>'Sch D-Occupancy'!D13*$H$8</f>
        <v>37.5</v>
      </c>
      <c r="K28" s="259">
        <f>SUM(F28:H28)-'Sch D-Occupancy'!D13</f>
        <v>0</v>
      </c>
    </row>
    <row r="29" spans="1:12" x14ac:dyDescent="0.15">
      <c r="A29" s="149"/>
      <c r="B29" s="128"/>
      <c r="C29" s="225" t="s">
        <v>127</v>
      </c>
      <c r="D29" s="150" t="s">
        <v>51</v>
      </c>
      <c r="F29" s="264">
        <f>'Sch D-Occupancy'!H13*$F$8</f>
        <v>11250</v>
      </c>
      <c r="H29" s="264">
        <f>'Sch D-Occupancy'!H13*$H$8</f>
        <v>3750</v>
      </c>
      <c r="K29" s="196">
        <f>SUM(F29:H29)-'Sch D-Occupancy'!H13</f>
        <v>0</v>
      </c>
    </row>
    <row r="30" spans="1:12" x14ac:dyDescent="0.15">
      <c r="A30" s="149"/>
      <c r="B30" s="128"/>
      <c r="C30" s="127"/>
      <c r="D30" s="150"/>
      <c r="F30" s="157"/>
      <c r="H30" s="157"/>
    </row>
    <row r="31" spans="1:12" x14ac:dyDescent="0.15">
      <c r="A31" s="141"/>
      <c r="B31" s="118"/>
      <c r="C31" s="122"/>
      <c r="D31" s="140"/>
      <c r="F31" s="157"/>
      <c r="H31" s="157"/>
    </row>
    <row r="32" spans="1:12" x14ac:dyDescent="0.15">
      <c r="A32" s="141"/>
      <c r="B32" s="118" t="s">
        <v>45</v>
      </c>
      <c r="C32" s="122"/>
      <c r="D32" s="140"/>
      <c r="F32" s="157"/>
      <c r="H32" s="157"/>
    </row>
    <row r="33" spans="1:11" x14ac:dyDescent="0.15">
      <c r="A33" s="151"/>
      <c r="B33" s="126"/>
      <c r="C33" s="126" t="s">
        <v>56</v>
      </c>
      <c r="D33" s="148" t="s">
        <v>48</v>
      </c>
      <c r="F33" s="215">
        <f>'Sch B-Labor'!N39*$F$8</f>
        <v>9190.2900000000009</v>
      </c>
      <c r="H33" s="215">
        <f>'Sch B-Labor'!N39*$H$8</f>
        <v>3063.4300000000003</v>
      </c>
      <c r="K33" s="259">
        <f>SUM(F33:H33)-'Sch B-Labor'!N39</f>
        <v>0</v>
      </c>
    </row>
    <row r="34" spans="1:11" x14ac:dyDescent="0.15">
      <c r="A34" s="151"/>
      <c r="B34" s="126"/>
      <c r="C34" s="126"/>
      <c r="D34" s="152"/>
      <c r="F34" s="157"/>
      <c r="H34" s="157"/>
    </row>
    <row r="35" spans="1:11" x14ac:dyDescent="0.15">
      <c r="A35" s="141"/>
      <c r="B35" s="122"/>
      <c r="C35" s="122" t="s">
        <v>46</v>
      </c>
      <c r="D35" s="140" t="s">
        <v>48</v>
      </c>
      <c r="F35" s="228">
        <f>'Sch B-Labor'!L39*$F$8</f>
        <v>27730.099612500002</v>
      </c>
      <c r="H35" s="228">
        <f>'Sch B-Labor'!L39*$H$8</f>
        <v>9243.3665375</v>
      </c>
      <c r="K35" s="196">
        <f>SUM(F35:H35)-'Sch B-Labor'!L39</f>
        <v>0</v>
      </c>
    </row>
    <row r="36" spans="1:11" x14ac:dyDescent="0.15">
      <c r="A36" s="141"/>
      <c r="B36" s="122"/>
      <c r="C36" s="122" t="s">
        <v>82</v>
      </c>
      <c r="D36" s="140" t="s">
        <v>50</v>
      </c>
      <c r="F36" s="193">
        <f>'Sch C-EquipReserve'!J20*$F$8</f>
        <v>1595.1374999999998</v>
      </c>
      <c r="H36" s="193">
        <f>'Sch C-EquipReserve'!J20*$H$8</f>
        <v>531.71249999999998</v>
      </c>
      <c r="K36" s="196">
        <f>SUM(F36:H36)-'Sch C-EquipReserve'!J20</f>
        <v>0</v>
      </c>
    </row>
    <row r="37" spans="1:11" x14ac:dyDescent="0.15">
      <c r="A37" s="141"/>
      <c r="B37" s="122"/>
      <c r="C37" s="122" t="s">
        <v>43</v>
      </c>
      <c r="D37" s="140" t="s">
        <v>48</v>
      </c>
      <c r="F37" s="193">
        <f>'Sch B-Labor'!L53*$F$8</f>
        <v>71809.709999999992</v>
      </c>
      <c r="H37" s="193">
        <f>'Sch B-Labor'!L53*$H$8</f>
        <v>23936.57</v>
      </c>
      <c r="K37" s="196">
        <f>SUM(F37:H37)-'Sch B-Labor'!L53</f>
        <v>0</v>
      </c>
    </row>
    <row r="38" spans="1:11" x14ac:dyDescent="0.15">
      <c r="A38" s="141"/>
      <c r="B38" s="122"/>
      <c r="C38" s="122" t="s">
        <v>76</v>
      </c>
      <c r="D38" s="140" t="s">
        <v>49</v>
      </c>
      <c r="F38" s="193">
        <f>'Sch E-ContractsExpenses'!E51*$F$8</f>
        <v>25267.800000000003</v>
      </c>
      <c r="H38" s="193">
        <f>'Sch E-ContractsExpenses'!E51*$H$8</f>
        <v>8422.6</v>
      </c>
      <c r="K38" s="196">
        <f>SUM(F38:H38)-'Sch E-ContractsExpenses'!E51</f>
        <v>0</v>
      </c>
    </row>
    <row r="39" spans="1:11" x14ac:dyDescent="0.15">
      <c r="A39" s="141"/>
      <c r="B39" s="122"/>
      <c r="C39" s="130"/>
      <c r="D39" s="144"/>
      <c r="F39" s="160"/>
      <c r="H39" s="160"/>
    </row>
    <row r="40" spans="1:11" x14ac:dyDescent="0.15">
      <c r="A40" s="141"/>
      <c r="B40" s="122"/>
      <c r="C40" s="122"/>
      <c r="D40" s="140"/>
      <c r="F40" s="158"/>
      <c r="H40" s="158"/>
    </row>
    <row r="41" spans="1:11" ht="15" thickBot="1" x14ac:dyDescent="0.2">
      <c r="A41" s="145" t="s">
        <v>54</v>
      </c>
      <c r="B41" s="131"/>
      <c r="C41" s="131"/>
      <c r="D41" s="146"/>
      <c r="F41" s="247">
        <f>SUM(F35:F39,F29)</f>
        <v>137652.74711250002</v>
      </c>
      <c r="H41" s="247">
        <f>SUM(H35:H39,H29)</f>
        <v>45884.249037499998</v>
      </c>
      <c r="K41" s="184"/>
    </row>
    <row r="42" spans="1:11" ht="15" thickTop="1" x14ac:dyDescent="0.15">
      <c r="A42" s="139"/>
      <c r="B42" s="118"/>
      <c r="C42" s="118"/>
      <c r="D42" s="140"/>
      <c r="F42" s="158"/>
      <c r="H42" s="158"/>
    </row>
    <row r="43" spans="1:11" ht="15" thickBot="1" x14ac:dyDescent="0.2">
      <c r="A43" s="229" t="s">
        <v>143</v>
      </c>
      <c r="B43" s="118"/>
      <c r="C43" s="118"/>
      <c r="D43" s="140"/>
      <c r="F43" s="167">
        <f>F41/$H$4</f>
        <v>9.8323390794642865E-3</v>
      </c>
      <c r="H43" s="167">
        <f>H41/$H$5</f>
        <v>2.2942124518749999E-2</v>
      </c>
    </row>
    <row r="44" spans="1:11" ht="15" thickTop="1" x14ac:dyDescent="0.15">
      <c r="A44" s="141"/>
      <c r="B44" s="122"/>
      <c r="C44" s="122"/>
      <c r="D44" s="140"/>
      <c r="F44" s="158"/>
      <c r="H44" s="158"/>
    </row>
    <row r="45" spans="1:11" x14ac:dyDescent="0.15">
      <c r="A45" s="141"/>
      <c r="B45" s="122"/>
      <c r="C45" s="122"/>
      <c r="D45" s="140"/>
      <c r="F45" s="158"/>
      <c r="H45" s="158"/>
    </row>
    <row r="46" spans="1:11" ht="15" thickBot="1" x14ac:dyDescent="0.2">
      <c r="A46" s="145" t="s">
        <v>65</v>
      </c>
      <c r="B46" s="131"/>
      <c r="C46" s="131"/>
      <c r="D46" s="146"/>
      <c r="F46" s="247">
        <f>F41+F21</f>
        <v>729088.77881249995</v>
      </c>
      <c r="H46" s="159">
        <f>H41+H21</f>
        <v>243029.59293750001</v>
      </c>
      <c r="K46" s="184"/>
    </row>
    <row r="47" spans="1:11" ht="15" thickTop="1" x14ac:dyDescent="0.15">
      <c r="A47" s="141"/>
      <c r="B47" s="122"/>
      <c r="C47" s="122"/>
      <c r="D47" s="140"/>
      <c r="F47" s="158"/>
      <c r="H47" s="158"/>
    </row>
    <row r="48" spans="1:11" s="233" customFormat="1" ht="16" thickBot="1" x14ac:dyDescent="0.2">
      <c r="A48" s="230" t="s">
        <v>142</v>
      </c>
      <c r="B48" s="231"/>
      <c r="C48" s="231"/>
      <c r="D48" s="232"/>
      <c r="F48" s="234">
        <f>SUM(F43,F23)</f>
        <v>5.2077769915178568E-2</v>
      </c>
      <c r="H48" s="234">
        <f>SUM(H43,H23)</f>
        <v>0.12151479646875001</v>
      </c>
    </row>
    <row r="49" spans="1:8" ht="15" thickTop="1" x14ac:dyDescent="0.15">
      <c r="A49" s="141"/>
      <c r="B49" s="122"/>
      <c r="C49" s="119"/>
      <c r="D49" s="140"/>
      <c r="F49" s="158"/>
      <c r="H49" s="158"/>
    </row>
    <row r="50" spans="1:8" ht="15" thickBot="1" x14ac:dyDescent="0.2">
      <c r="A50" s="217"/>
      <c r="B50" s="218"/>
      <c r="C50" s="218"/>
      <c r="D50" s="219"/>
      <c r="F50" s="216"/>
      <c r="H50" s="216"/>
    </row>
  </sheetData>
  <phoneticPr fontId="13" type="noConversion"/>
  <printOptions horizontalCentered="1" verticalCentered="1"/>
  <pageMargins left="0.7" right="0.7" top="0.25" bottom="0.25" header="0.3" footer="0.3"/>
  <pageSetup scale="99" orientation="portrait" verticalDpi="0" r:id="rId1"/>
  <headerFooter>
    <oddHeader>&amp;R&amp;8Page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6" workbookViewId="0">
      <pane ySplit="1" topLeftCell="A7" activePane="bottomLeft" state="frozen"/>
      <selection activeCell="A6" sqref="A6"/>
      <selection pane="bottomLeft" activeCell="A6" sqref="A6"/>
    </sheetView>
  </sheetViews>
  <sheetFormatPr baseColWidth="10" defaultColWidth="9" defaultRowHeight="13" x14ac:dyDescent="0.15"/>
  <cols>
    <col min="1" max="1" width="23.6640625" style="8" customWidth="1"/>
    <col min="2" max="2" width="11.83203125" style="8" bestFit="1" customWidth="1"/>
    <col min="3" max="3" width="6" style="17" bestFit="1" customWidth="1"/>
    <col min="4" max="4" width="10.33203125" style="8" bestFit="1" customWidth="1"/>
    <col min="5" max="5" width="19" style="114" bestFit="1" customWidth="1"/>
    <col min="6" max="6" width="2.6640625" style="8" customWidth="1"/>
    <col min="7" max="7" width="30.5" style="8" bestFit="1" customWidth="1"/>
    <col min="8" max="8" width="21.33203125" style="8" customWidth="1"/>
    <col min="9" max="16384" width="9" style="8"/>
  </cols>
  <sheetData>
    <row r="1" spans="1:8" ht="14" x14ac:dyDescent="0.15">
      <c r="A1" s="72" t="s">
        <v>13</v>
      </c>
      <c r="E1" s="176" t="s">
        <v>0</v>
      </c>
    </row>
    <row r="2" spans="1:8" ht="14" x14ac:dyDescent="0.15">
      <c r="A2" s="72" t="str">
        <f>'AnywherePrints BCR'!A2</f>
        <v>DoIT Integrated Media Technologies</v>
      </c>
      <c r="B2" s="5"/>
      <c r="D2" s="7"/>
      <c r="E2" s="177" t="s">
        <v>36</v>
      </c>
      <c r="F2" s="7"/>
      <c r="G2" s="7"/>
    </row>
    <row r="3" spans="1:8" s="25" customFormat="1" ht="14" x14ac:dyDescent="0.15">
      <c r="A3" s="100" t="str">
        <f>'AnywherePrints BCR'!A3</f>
        <v>FY 2017</v>
      </c>
      <c r="B3" s="22"/>
      <c r="C3" s="23"/>
      <c r="D3" s="24"/>
      <c r="E3" s="178"/>
      <c r="F3" s="24"/>
      <c r="G3" s="24"/>
    </row>
    <row r="4" spans="1:8" x14ac:dyDescent="0.15">
      <c r="A4" s="5"/>
      <c r="B4" s="5"/>
      <c r="C4" s="6"/>
      <c r="D4" s="7"/>
      <c r="E4" s="110"/>
      <c r="F4" s="7"/>
      <c r="G4" s="7"/>
    </row>
    <row r="5" spans="1:8" x14ac:dyDescent="0.15">
      <c r="A5" s="7"/>
      <c r="B5" s="7"/>
      <c r="C5" s="6"/>
      <c r="D5" s="9"/>
      <c r="E5" s="179"/>
      <c r="F5" s="7"/>
      <c r="G5" s="7"/>
    </row>
    <row r="6" spans="1:8" s="109" customFormat="1" ht="26" x14ac:dyDescent="0.15">
      <c r="A6" s="107" t="s">
        <v>25</v>
      </c>
      <c r="B6" s="107" t="s">
        <v>26</v>
      </c>
      <c r="C6" s="107" t="s">
        <v>27</v>
      </c>
      <c r="D6" s="107" t="s">
        <v>87</v>
      </c>
      <c r="E6" s="180" t="s">
        <v>29</v>
      </c>
      <c r="F6" s="108" t="s">
        <v>30</v>
      </c>
      <c r="G6" s="107" t="s">
        <v>31</v>
      </c>
      <c r="H6" s="107"/>
    </row>
    <row r="7" spans="1:8" ht="9" customHeight="1" x14ac:dyDescent="0.15">
      <c r="A7" s="7"/>
      <c r="B7" s="7"/>
      <c r="C7" s="6"/>
      <c r="D7" s="7"/>
      <c r="E7" s="110"/>
      <c r="F7" s="7"/>
      <c r="G7" s="7"/>
    </row>
    <row r="8" spans="1:8" ht="9" customHeight="1" x14ac:dyDescent="0.15">
      <c r="A8" s="7"/>
      <c r="B8" s="7"/>
      <c r="C8" s="6"/>
      <c r="D8" s="7"/>
      <c r="E8" s="110"/>
      <c r="F8" s="7"/>
      <c r="G8" s="7"/>
    </row>
    <row r="9" spans="1:8" s="186" customFormat="1" ht="12.75" customHeight="1" x14ac:dyDescent="0.15">
      <c r="A9" s="5" t="s">
        <v>114</v>
      </c>
      <c r="B9" s="5"/>
      <c r="C9" s="6"/>
      <c r="D9" s="185"/>
      <c r="E9" s="110"/>
      <c r="F9" s="185"/>
      <c r="G9" s="185"/>
    </row>
    <row r="10" spans="1:8" s="186" customFormat="1" ht="9" customHeight="1" x14ac:dyDescent="0.15">
      <c r="A10" s="185"/>
      <c r="B10" s="185"/>
      <c r="C10" s="6"/>
      <c r="D10" s="185"/>
      <c r="E10" s="110"/>
      <c r="F10" s="185"/>
      <c r="G10" s="185"/>
    </row>
    <row r="11" spans="1:8" s="186" customFormat="1" x14ac:dyDescent="0.15">
      <c r="A11" s="187" t="s">
        <v>169</v>
      </c>
      <c r="B11" s="182" t="s">
        <v>170</v>
      </c>
      <c r="C11" s="182" t="s">
        <v>170</v>
      </c>
      <c r="D11" s="175">
        <v>5118</v>
      </c>
      <c r="E11" s="175">
        <f>D11*12</f>
        <v>61416</v>
      </c>
      <c r="F11" s="185" t="s">
        <v>32</v>
      </c>
      <c r="G11" s="185"/>
    </row>
    <row r="12" spans="1:8" s="186" customFormat="1" x14ac:dyDescent="0.15">
      <c r="A12" s="187"/>
      <c r="B12" s="169"/>
      <c r="C12" s="170"/>
      <c r="D12" s="175"/>
      <c r="E12" s="175"/>
      <c r="F12" s="185"/>
      <c r="G12" s="185"/>
    </row>
    <row r="13" spans="1:8" s="186" customFormat="1" x14ac:dyDescent="0.15">
      <c r="A13" s="185" t="s">
        <v>110</v>
      </c>
      <c r="B13" s="185"/>
      <c r="C13" s="6"/>
      <c r="D13" s="110"/>
      <c r="E13" s="113">
        <f>SUM(E11:E11)*0</f>
        <v>0</v>
      </c>
      <c r="F13" s="185"/>
      <c r="G13" s="185" t="s">
        <v>113</v>
      </c>
    </row>
    <row r="14" spans="1:8" s="186" customFormat="1" x14ac:dyDescent="0.15">
      <c r="A14" s="187"/>
      <c r="B14" s="169"/>
      <c r="C14" s="170"/>
      <c r="D14" s="175"/>
      <c r="E14" s="175"/>
      <c r="F14" s="185"/>
      <c r="G14" s="185"/>
    </row>
    <row r="15" spans="1:8" s="186" customFormat="1" x14ac:dyDescent="0.15">
      <c r="A15" s="171"/>
      <c r="B15" s="172"/>
      <c r="C15" s="173"/>
      <c r="D15" s="174"/>
      <c r="E15" s="174"/>
      <c r="F15" s="185"/>
      <c r="G15" s="185"/>
    </row>
    <row r="16" spans="1:8" s="186" customFormat="1" x14ac:dyDescent="0.15">
      <c r="A16" s="187" t="s">
        <v>115</v>
      </c>
      <c r="B16" s="169"/>
      <c r="C16" s="170"/>
      <c r="D16" s="110"/>
      <c r="E16" s="110">
        <f>SUM(E11:E13)</f>
        <v>61416</v>
      </c>
      <c r="F16" s="185"/>
      <c r="G16" s="185"/>
    </row>
    <row r="17" spans="1:7" s="186" customFormat="1" ht="9" customHeight="1" x14ac:dyDescent="0.15">
      <c r="A17" s="187"/>
      <c r="B17" s="169"/>
      <c r="C17" s="170"/>
      <c r="D17" s="110"/>
      <c r="E17" s="110"/>
      <c r="F17" s="185"/>
    </row>
    <row r="18" spans="1:7" ht="12.75" customHeight="1" x14ac:dyDescent="0.15">
      <c r="A18" s="5" t="s">
        <v>24</v>
      </c>
      <c r="B18" s="5"/>
      <c r="C18" s="6"/>
      <c r="D18" s="7"/>
      <c r="E18" s="110"/>
      <c r="F18" s="7"/>
      <c r="G18" s="7"/>
    </row>
    <row r="19" spans="1:7" ht="9" customHeight="1" x14ac:dyDescent="0.15">
      <c r="A19" s="7"/>
      <c r="B19" s="7"/>
      <c r="C19" s="6"/>
      <c r="D19" s="7"/>
      <c r="E19" s="110"/>
      <c r="F19" s="7"/>
      <c r="G19" s="7"/>
    </row>
    <row r="20" spans="1:7" s="186" customFormat="1" x14ac:dyDescent="0.15">
      <c r="A20" s="187" t="s">
        <v>169</v>
      </c>
      <c r="B20" s="182" t="s">
        <v>170</v>
      </c>
      <c r="C20" s="182" t="s">
        <v>170</v>
      </c>
      <c r="D20" s="110">
        <v>17.91</v>
      </c>
      <c r="E20" s="175">
        <f t="shared" ref="E20:E22" si="0">D20*1957.5</f>
        <v>35058.824999999997</v>
      </c>
      <c r="F20" s="185" t="s">
        <v>32</v>
      </c>
      <c r="G20" s="185"/>
    </row>
    <row r="21" spans="1:7" s="186" customFormat="1" x14ac:dyDescent="0.15">
      <c r="A21" s="187" t="s">
        <v>169</v>
      </c>
      <c r="B21" s="182" t="s">
        <v>170</v>
      </c>
      <c r="C21" s="182" t="s">
        <v>170</v>
      </c>
      <c r="D21" s="110">
        <v>18.579999999999998</v>
      </c>
      <c r="E21" s="175">
        <f t="shared" si="0"/>
        <v>36370.35</v>
      </c>
      <c r="F21" s="185" t="s">
        <v>32</v>
      </c>
      <c r="G21" s="185"/>
    </row>
    <row r="22" spans="1:7" s="186" customFormat="1" x14ac:dyDescent="0.15">
      <c r="A22" s="187" t="s">
        <v>169</v>
      </c>
      <c r="B22" s="182" t="s">
        <v>170</v>
      </c>
      <c r="C22" s="182" t="s">
        <v>170</v>
      </c>
      <c r="D22" s="175">
        <v>23.18</v>
      </c>
      <c r="E22" s="175">
        <f t="shared" si="0"/>
        <v>45374.85</v>
      </c>
      <c r="F22" s="185" t="s">
        <v>32</v>
      </c>
      <c r="G22" s="185"/>
    </row>
    <row r="23" spans="1:7" x14ac:dyDescent="0.15">
      <c r="A23" s="187" t="s">
        <v>169</v>
      </c>
      <c r="B23" s="182" t="s">
        <v>170</v>
      </c>
      <c r="C23" s="182" t="s">
        <v>170</v>
      </c>
      <c r="D23" s="175">
        <v>12.48</v>
      </c>
      <c r="E23" s="175">
        <f t="shared" ref="E23" si="1">D23*1957.5</f>
        <v>24429.600000000002</v>
      </c>
      <c r="F23" s="7" t="s">
        <v>32</v>
      </c>
      <c r="G23" s="7"/>
    </row>
    <row r="24" spans="1:7" x14ac:dyDescent="0.15">
      <c r="A24" s="11"/>
      <c r="B24" s="169"/>
      <c r="C24" s="170"/>
      <c r="D24" s="175"/>
      <c r="E24" s="175"/>
      <c r="F24" s="7"/>
      <c r="G24" s="7"/>
    </row>
    <row r="25" spans="1:7" x14ac:dyDescent="0.15">
      <c r="A25" s="7" t="s">
        <v>117</v>
      </c>
      <c r="B25" s="7"/>
      <c r="C25" s="6"/>
      <c r="D25" s="110"/>
      <c r="E25" s="113">
        <f>SUM(E20:E23)*0</f>
        <v>0</v>
      </c>
      <c r="F25" s="7"/>
      <c r="G25" s="7" t="s">
        <v>113</v>
      </c>
    </row>
    <row r="26" spans="1:7" x14ac:dyDescent="0.15">
      <c r="A26" s="11"/>
      <c r="B26" s="169"/>
      <c r="C26" s="170"/>
      <c r="D26" s="175"/>
      <c r="E26" s="175"/>
      <c r="F26" s="7"/>
      <c r="G26" s="7"/>
    </row>
    <row r="27" spans="1:7" x14ac:dyDescent="0.15">
      <c r="A27" s="171"/>
      <c r="B27" s="172"/>
      <c r="C27" s="173"/>
      <c r="D27" s="174"/>
      <c r="E27" s="174"/>
      <c r="F27" s="7"/>
      <c r="G27" s="7"/>
    </row>
    <row r="28" spans="1:7" x14ac:dyDescent="0.15">
      <c r="A28" s="11" t="s">
        <v>92</v>
      </c>
      <c r="B28" s="169"/>
      <c r="C28" s="170"/>
      <c r="D28" s="110"/>
      <c r="E28" s="110">
        <f>SUM(E20:E25)</f>
        <v>141233.625</v>
      </c>
      <c r="F28" s="7"/>
      <c r="G28" s="7"/>
    </row>
    <row r="29" spans="1:7" ht="9" customHeight="1" x14ac:dyDescent="0.15">
      <c r="A29" s="11"/>
      <c r="B29" s="169"/>
      <c r="C29" s="170"/>
      <c r="D29" s="110"/>
      <c r="E29" s="110"/>
      <c r="F29" s="7"/>
    </row>
    <row r="30" spans="1:7" s="186" customFormat="1" ht="12.75" customHeight="1" x14ac:dyDescent="0.15">
      <c r="A30" s="5" t="s">
        <v>118</v>
      </c>
      <c r="B30" s="5"/>
      <c r="C30" s="6"/>
      <c r="D30" s="185"/>
      <c r="E30" s="110"/>
      <c r="F30" s="185"/>
      <c r="G30" s="185"/>
    </row>
    <row r="31" spans="1:7" s="186" customFormat="1" ht="9" customHeight="1" x14ac:dyDescent="0.15">
      <c r="A31" s="185"/>
      <c r="B31" s="185"/>
      <c r="C31" s="6"/>
      <c r="D31" s="185"/>
      <c r="E31" s="110"/>
      <c r="F31" s="185"/>
      <c r="G31" s="185"/>
    </row>
    <row r="32" spans="1:7" s="186" customFormat="1" x14ac:dyDescent="0.15">
      <c r="A32" s="187" t="s">
        <v>169</v>
      </c>
      <c r="B32" s="182" t="s">
        <v>170</v>
      </c>
      <c r="C32" s="182" t="s">
        <v>170</v>
      </c>
      <c r="D32" s="110">
        <v>18</v>
      </c>
      <c r="E32" s="110">
        <f>D32*1200</f>
        <v>21600</v>
      </c>
      <c r="F32" s="185" t="s">
        <v>32</v>
      </c>
      <c r="G32" s="185"/>
    </row>
    <row r="33" spans="1:7" s="186" customFormat="1" x14ac:dyDescent="0.15">
      <c r="A33" s="187" t="s">
        <v>169</v>
      </c>
      <c r="B33" s="182" t="s">
        <v>170</v>
      </c>
      <c r="C33" s="182" t="s">
        <v>170</v>
      </c>
      <c r="D33" s="110">
        <v>10.5</v>
      </c>
      <c r="E33" s="110">
        <f>D33*1200</f>
        <v>12600</v>
      </c>
      <c r="F33" s="185" t="s">
        <v>32</v>
      </c>
      <c r="G33" s="185"/>
    </row>
    <row r="34" spans="1:7" s="186" customFormat="1" x14ac:dyDescent="0.15">
      <c r="A34" s="187"/>
      <c r="B34" s="169"/>
      <c r="C34" s="170"/>
      <c r="D34" s="175"/>
      <c r="E34" s="175"/>
      <c r="F34" s="185"/>
      <c r="G34" s="185"/>
    </row>
    <row r="35" spans="1:7" s="186" customFormat="1" x14ac:dyDescent="0.15">
      <c r="A35" s="185" t="s">
        <v>93</v>
      </c>
      <c r="B35" s="185"/>
      <c r="C35" s="6"/>
      <c r="D35" s="110"/>
      <c r="E35" s="113">
        <f>SUM(E32:E33)*0</f>
        <v>0</v>
      </c>
      <c r="F35" s="185"/>
      <c r="G35" s="185" t="s">
        <v>113</v>
      </c>
    </row>
    <row r="36" spans="1:7" s="186" customFormat="1" x14ac:dyDescent="0.15">
      <c r="A36" s="187"/>
      <c r="B36" s="169"/>
      <c r="C36" s="170"/>
      <c r="D36" s="175"/>
      <c r="E36" s="175"/>
      <c r="F36" s="185"/>
      <c r="G36" s="185"/>
    </row>
    <row r="37" spans="1:7" s="186" customFormat="1" x14ac:dyDescent="0.15">
      <c r="A37" s="171"/>
      <c r="B37" s="172"/>
      <c r="C37" s="173"/>
      <c r="D37" s="174"/>
      <c r="E37" s="174"/>
      <c r="F37" s="185"/>
      <c r="G37" s="185"/>
    </row>
    <row r="38" spans="1:7" s="186" customFormat="1" x14ac:dyDescent="0.15">
      <c r="A38" s="187" t="s">
        <v>112</v>
      </c>
      <c r="B38" s="169"/>
      <c r="C38" s="170"/>
      <c r="D38" s="110"/>
      <c r="E38" s="110">
        <f>SUM(E32:E35)</f>
        <v>34200</v>
      </c>
      <c r="F38" s="185"/>
      <c r="G38" s="185"/>
    </row>
    <row r="39" spans="1:7" s="186" customFormat="1" ht="9" customHeight="1" x14ac:dyDescent="0.15">
      <c r="A39" s="187"/>
      <c r="B39" s="169"/>
      <c r="C39" s="170"/>
      <c r="D39" s="110"/>
      <c r="E39" s="110"/>
      <c r="F39" s="185"/>
    </row>
    <row r="40" spans="1:7" x14ac:dyDescent="0.15">
      <c r="A40" s="5" t="s">
        <v>119</v>
      </c>
      <c r="B40" s="5"/>
      <c r="C40" s="6"/>
      <c r="D40" s="7"/>
      <c r="E40" s="110"/>
      <c r="F40" s="7"/>
      <c r="G40" s="7"/>
    </row>
    <row r="41" spans="1:7" ht="9" customHeight="1" x14ac:dyDescent="0.15">
      <c r="A41" s="11"/>
      <c r="B41" s="169"/>
      <c r="C41" s="170"/>
      <c r="D41" s="110"/>
      <c r="E41" s="110"/>
      <c r="F41" s="7"/>
      <c r="G41" s="7"/>
    </row>
    <row r="42" spans="1:7" s="186" customFormat="1" x14ac:dyDescent="0.15">
      <c r="A42" s="187" t="s">
        <v>171</v>
      </c>
      <c r="B42" s="182" t="s">
        <v>170</v>
      </c>
      <c r="C42" s="182" t="s">
        <v>170</v>
      </c>
      <c r="D42" s="110">
        <v>8.25</v>
      </c>
      <c r="E42" s="110">
        <f>D42*750</f>
        <v>6187.5</v>
      </c>
      <c r="F42" s="185" t="s">
        <v>91</v>
      </c>
      <c r="G42" s="185"/>
    </row>
    <row r="43" spans="1:7" s="186" customFormat="1" x14ac:dyDescent="0.15">
      <c r="A43" s="187" t="s">
        <v>171</v>
      </c>
      <c r="B43" s="182" t="s">
        <v>170</v>
      </c>
      <c r="C43" s="182" t="s">
        <v>170</v>
      </c>
      <c r="D43" s="110">
        <v>8.25</v>
      </c>
      <c r="E43" s="110">
        <f>D43*750</f>
        <v>6187.5</v>
      </c>
      <c r="F43" s="185" t="s">
        <v>91</v>
      </c>
      <c r="G43" s="185"/>
    </row>
    <row r="44" spans="1:7" x14ac:dyDescent="0.15">
      <c r="A44" s="187" t="s">
        <v>171</v>
      </c>
      <c r="B44" s="182" t="s">
        <v>170</v>
      </c>
      <c r="C44" s="182" t="s">
        <v>170</v>
      </c>
      <c r="D44" s="110">
        <v>8.25</v>
      </c>
      <c r="E44" s="110">
        <f>D44*750</f>
        <v>6187.5</v>
      </c>
      <c r="F44" s="7" t="s">
        <v>91</v>
      </c>
      <c r="G44" s="7"/>
    </row>
    <row r="45" spans="1:7" x14ac:dyDescent="0.15">
      <c r="A45" s="187" t="s">
        <v>171</v>
      </c>
      <c r="B45" s="182" t="s">
        <v>170</v>
      </c>
      <c r="C45" s="182" t="s">
        <v>170</v>
      </c>
      <c r="D45" s="110">
        <v>8.25</v>
      </c>
      <c r="E45" s="110">
        <f>D45*750</f>
        <v>6187.5</v>
      </c>
      <c r="F45" s="7" t="s">
        <v>91</v>
      </c>
      <c r="G45" s="7"/>
    </row>
    <row r="46" spans="1:7" s="186" customFormat="1" x14ac:dyDescent="0.15">
      <c r="A46" s="187" t="s">
        <v>171</v>
      </c>
      <c r="B46" s="182" t="s">
        <v>170</v>
      </c>
      <c r="C46" s="182" t="s">
        <v>170</v>
      </c>
      <c r="D46" s="110">
        <v>8.25</v>
      </c>
      <c r="E46" s="110">
        <f t="shared" ref="E46:E49" si="2">D46*750</f>
        <v>6187.5</v>
      </c>
      <c r="F46" s="185" t="s">
        <v>91</v>
      </c>
      <c r="G46" s="185"/>
    </row>
    <row r="47" spans="1:7" s="186" customFormat="1" x14ac:dyDescent="0.15">
      <c r="A47" s="187" t="s">
        <v>171</v>
      </c>
      <c r="B47" s="182" t="s">
        <v>170</v>
      </c>
      <c r="C47" s="182" t="s">
        <v>170</v>
      </c>
      <c r="D47" s="110">
        <v>8.25</v>
      </c>
      <c r="E47" s="110">
        <f t="shared" si="2"/>
        <v>6187.5</v>
      </c>
      <c r="F47" s="185" t="s">
        <v>91</v>
      </c>
      <c r="G47" s="185"/>
    </row>
    <row r="48" spans="1:7" s="186" customFormat="1" x14ac:dyDescent="0.15">
      <c r="A48" s="187" t="s">
        <v>171</v>
      </c>
      <c r="B48" s="182" t="s">
        <v>170</v>
      </c>
      <c r="C48" s="182" t="s">
        <v>170</v>
      </c>
      <c r="D48" s="110">
        <v>8.25</v>
      </c>
      <c r="E48" s="110">
        <f t="shared" si="2"/>
        <v>6187.5</v>
      </c>
      <c r="F48" s="185" t="s">
        <v>91</v>
      </c>
      <c r="G48" s="185"/>
    </row>
    <row r="49" spans="1:7" s="186" customFormat="1" x14ac:dyDescent="0.15">
      <c r="A49" s="187" t="s">
        <v>171</v>
      </c>
      <c r="B49" s="182" t="s">
        <v>170</v>
      </c>
      <c r="C49" s="182" t="s">
        <v>170</v>
      </c>
      <c r="D49" s="110">
        <v>8.25</v>
      </c>
      <c r="E49" s="110">
        <f t="shared" si="2"/>
        <v>6187.5</v>
      </c>
      <c r="F49" s="185" t="s">
        <v>91</v>
      </c>
      <c r="G49" s="185"/>
    </row>
    <row r="50" spans="1:7" x14ac:dyDescent="0.15">
      <c r="A50" s="187" t="s">
        <v>171</v>
      </c>
      <c r="B50" s="182" t="s">
        <v>170</v>
      </c>
      <c r="C50" s="182" t="s">
        <v>170</v>
      </c>
      <c r="D50" s="110">
        <v>8.25</v>
      </c>
      <c r="E50" s="110">
        <f t="shared" ref="E50:E51" si="3">D50*750</f>
        <v>6187.5</v>
      </c>
      <c r="F50" s="7" t="s">
        <v>91</v>
      </c>
      <c r="G50" s="7"/>
    </row>
    <row r="51" spans="1:7" x14ac:dyDescent="0.15">
      <c r="A51" s="187" t="s">
        <v>171</v>
      </c>
      <c r="B51" s="182" t="s">
        <v>170</v>
      </c>
      <c r="C51" s="182" t="s">
        <v>170</v>
      </c>
      <c r="D51" s="110">
        <v>8.25</v>
      </c>
      <c r="E51" s="110">
        <f t="shared" si="3"/>
        <v>6187.5</v>
      </c>
      <c r="F51" s="7" t="s">
        <v>91</v>
      </c>
      <c r="G51" s="7"/>
    </row>
    <row r="52" spans="1:7" x14ac:dyDescent="0.15">
      <c r="A52" s="171"/>
      <c r="B52" s="172"/>
      <c r="C52" s="173"/>
      <c r="D52" s="174"/>
      <c r="E52" s="174"/>
      <c r="F52" s="7"/>
      <c r="G52" s="7"/>
    </row>
    <row r="53" spans="1:7" x14ac:dyDescent="0.15">
      <c r="A53" s="11" t="s">
        <v>95</v>
      </c>
      <c r="B53" s="169"/>
      <c r="C53" s="170"/>
      <c r="D53" s="110"/>
      <c r="E53" s="110">
        <f>SUM(E42:E51)</f>
        <v>61875</v>
      </c>
      <c r="F53" s="7"/>
      <c r="G53" s="7"/>
    </row>
    <row r="54" spans="1:7" x14ac:dyDescent="0.15">
      <c r="A54" s="7"/>
      <c r="B54" s="7"/>
      <c r="C54" s="13"/>
      <c r="D54" s="110"/>
      <c r="E54" s="110"/>
      <c r="F54" s="7"/>
      <c r="G54" s="7"/>
    </row>
    <row r="55" spans="1:7" ht="14" thickBot="1" x14ac:dyDescent="0.2">
      <c r="A55" s="181" t="s">
        <v>94</v>
      </c>
      <c r="B55" s="14"/>
      <c r="C55" s="15"/>
      <c r="D55" s="111"/>
      <c r="E55" s="112">
        <f>SUM(E53,E38,E28,E16)</f>
        <v>298724.625</v>
      </c>
      <c r="F55" s="7"/>
      <c r="G55" s="7"/>
    </row>
    <row r="56" spans="1:7" ht="14" thickTop="1" x14ac:dyDescent="0.15">
      <c r="A56" s="7"/>
      <c r="B56" s="7"/>
      <c r="C56" s="6"/>
      <c r="D56" s="110"/>
      <c r="E56" s="113"/>
      <c r="F56" s="7"/>
      <c r="G56" s="7"/>
    </row>
    <row r="57" spans="1:7" x14ac:dyDescent="0.15">
      <c r="C57" s="8"/>
      <c r="E57" s="8"/>
    </row>
    <row r="58" spans="1:7" x14ac:dyDescent="0.15">
      <c r="A58" s="7"/>
      <c r="B58" s="7"/>
      <c r="C58" s="6"/>
      <c r="D58" s="110"/>
      <c r="E58" s="110"/>
      <c r="F58" s="7"/>
      <c r="G58" s="7"/>
    </row>
    <row r="59" spans="1:7" x14ac:dyDescent="0.15">
      <c r="B59" s="7"/>
      <c r="C59" s="13"/>
      <c r="D59" s="110"/>
      <c r="E59" s="110"/>
      <c r="F59" s="7"/>
      <c r="G59" s="7"/>
    </row>
    <row r="60" spans="1:7" x14ac:dyDescent="0.15">
      <c r="A60" s="7" t="s">
        <v>111</v>
      </c>
      <c r="B60" s="7"/>
      <c r="C60" s="13"/>
      <c r="D60" s="110"/>
      <c r="E60" s="110"/>
      <c r="F60" s="7"/>
      <c r="G60" s="7"/>
    </row>
    <row r="61" spans="1:7" x14ac:dyDescent="0.15">
      <c r="A61" s="7" t="s">
        <v>34</v>
      </c>
      <c r="B61" s="7"/>
      <c r="C61" s="13"/>
      <c r="D61" s="110">
        <v>0</v>
      </c>
      <c r="E61" s="110"/>
      <c r="F61" s="7"/>
      <c r="G61" s="7"/>
    </row>
    <row r="62" spans="1:7" x14ac:dyDescent="0.15">
      <c r="A62" s="7"/>
      <c r="B62" s="7"/>
      <c r="C62" s="13"/>
      <c r="D62" s="110"/>
      <c r="E62" s="110"/>
      <c r="F62" s="7"/>
      <c r="G62" s="7"/>
    </row>
    <row r="63" spans="1:7" x14ac:dyDescent="0.15">
      <c r="A63" s="20"/>
      <c r="B63" s="20"/>
      <c r="C63" s="21"/>
      <c r="D63" s="115"/>
      <c r="E63" s="110"/>
      <c r="F63" s="7"/>
      <c r="G63" s="12"/>
    </row>
    <row r="64" spans="1:7" x14ac:dyDescent="0.15">
      <c r="A64" s="7" t="s">
        <v>96</v>
      </c>
      <c r="B64" s="7"/>
      <c r="C64" s="6"/>
      <c r="D64" s="110"/>
      <c r="E64" s="113">
        <f>SUM(D59:D63)</f>
        <v>0</v>
      </c>
      <c r="F64" s="7"/>
      <c r="G64" s="7"/>
    </row>
    <row r="65" spans="1:7" x14ac:dyDescent="0.15">
      <c r="A65" s="7"/>
      <c r="B65" s="7"/>
      <c r="C65" s="6"/>
      <c r="D65" s="110"/>
      <c r="E65" s="110"/>
      <c r="F65" s="7"/>
      <c r="G65" s="7"/>
    </row>
    <row r="66" spans="1:7" x14ac:dyDescent="0.15">
      <c r="A66" s="7"/>
      <c r="B66" s="7"/>
      <c r="C66" s="6"/>
      <c r="D66" s="110"/>
      <c r="E66" s="110"/>
      <c r="F66" s="7"/>
      <c r="G66" s="7"/>
    </row>
    <row r="67" spans="1:7" ht="14" thickBot="1" x14ac:dyDescent="0.2">
      <c r="A67" s="14" t="s">
        <v>33</v>
      </c>
      <c r="B67" s="14"/>
      <c r="C67" s="15"/>
      <c r="D67" s="111"/>
      <c r="E67" s="112">
        <f>SUM(E55:E66)</f>
        <v>298724.625</v>
      </c>
      <c r="F67" s="7"/>
      <c r="G67" s="7"/>
    </row>
    <row r="68" spans="1:7" ht="14" thickTop="1" x14ac:dyDescent="0.15">
      <c r="A68" s="7"/>
      <c r="B68" s="7"/>
      <c r="C68" s="6"/>
      <c r="D68" s="10"/>
      <c r="E68" s="110"/>
      <c r="F68" s="7"/>
      <c r="G68" s="7"/>
    </row>
    <row r="69" spans="1:7" x14ac:dyDescent="0.15">
      <c r="A69" s="7"/>
      <c r="B69" s="7"/>
      <c r="C69" s="6"/>
      <c r="D69" s="10"/>
      <c r="E69" s="110"/>
      <c r="F69" s="7"/>
      <c r="G69" s="7"/>
    </row>
    <row r="70" spans="1:7" x14ac:dyDescent="0.15">
      <c r="A70" s="7"/>
      <c r="B70" s="7"/>
      <c r="C70" s="6"/>
      <c r="D70" s="10"/>
      <c r="E70" s="110"/>
      <c r="F70" s="7"/>
      <c r="G70" s="7"/>
    </row>
    <row r="71" spans="1:7" x14ac:dyDescent="0.15">
      <c r="A71" s="7" t="s">
        <v>97</v>
      </c>
      <c r="B71" s="7"/>
      <c r="C71" s="6"/>
      <c r="D71" s="10"/>
      <c r="E71" s="110"/>
      <c r="F71" s="7"/>
      <c r="G71" s="7"/>
    </row>
    <row r="72" spans="1:7" x14ac:dyDescent="0.15">
      <c r="A72" s="7" t="s">
        <v>89</v>
      </c>
      <c r="B72" s="7"/>
      <c r="C72" s="6"/>
      <c r="D72" s="10"/>
      <c r="E72" s="110"/>
      <c r="F72" s="7"/>
      <c r="G72" s="7"/>
    </row>
    <row r="73" spans="1:7" x14ac:dyDescent="0.15">
      <c r="A73" s="7"/>
      <c r="B73" s="7"/>
      <c r="C73" s="6"/>
      <c r="D73" s="10"/>
      <c r="E73" s="110"/>
      <c r="F73" s="7"/>
      <c r="G73" s="7"/>
    </row>
    <row r="74" spans="1:7" x14ac:dyDescent="0.15">
      <c r="A74" s="7"/>
      <c r="B74" s="7"/>
      <c r="C74" s="6"/>
      <c r="D74" s="7"/>
      <c r="E74" s="110"/>
      <c r="F74" s="7"/>
      <c r="G74" s="7"/>
    </row>
    <row r="75" spans="1:7" x14ac:dyDescent="0.15">
      <c r="A75" s="16"/>
      <c r="B75" s="16"/>
      <c r="C75" s="6"/>
      <c r="D75" s="7"/>
      <c r="E75" s="110"/>
      <c r="F75" s="7"/>
      <c r="G75" s="7"/>
    </row>
  </sheetData>
  <phoneticPr fontId="13" type="noConversion"/>
  <pageMargins left="0.75" right="0" top="0.75" bottom="0.25" header="0" footer="0"/>
  <pageSetup scale="75" orientation="portrait" r:id="rId1"/>
  <headerFooter scaleWithDoc="0" alignWithMargins="0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8"/>
  <sheetViews>
    <sheetView topLeftCell="A18" workbookViewId="0"/>
  </sheetViews>
  <sheetFormatPr baseColWidth="10" defaultColWidth="8.83203125" defaultRowHeight="14" x14ac:dyDescent="0.15"/>
  <cols>
    <col min="1" max="1" width="26.6640625" customWidth="1"/>
    <col min="2" max="2" width="7" style="18" customWidth="1"/>
    <col min="3" max="3" width="1.6640625" style="18" customWidth="1"/>
    <col min="4" max="4" width="7" style="1" customWidth="1"/>
    <col min="5" max="5" width="1.6640625" customWidth="1"/>
    <col min="6" max="6" width="10" style="19" customWidth="1"/>
    <col min="7" max="7" width="1.6640625" style="19" customWidth="1"/>
    <col min="8" max="8" width="18.6640625" style="19" customWidth="1"/>
    <col min="9" max="9" width="1.6640625" customWidth="1"/>
    <col min="10" max="10" width="10.1640625" customWidth="1"/>
    <col min="11" max="11" width="16.6640625" customWidth="1"/>
    <col min="12" max="12" width="13.83203125" customWidth="1"/>
    <col min="13" max="13" width="1.6640625" customWidth="1"/>
    <col min="14" max="14" width="13.6640625" style="35" customWidth="1"/>
    <col min="15" max="15" width="6.83203125" style="18" customWidth="1"/>
  </cols>
  <sheetData>
    <row r="1" spans="1:15" x14ac:dyDescent="0.15">
      <c r="A1" s="72" t="s">
        <v>13</v>
      </c>
      <c r="I1" s="54" t="s">
        <v>14</v>
      </c>
    </row>
    <row r="2" spans="1:15" x14ac:dyDescent="0.15">
      <c r="A2" s="72" t="str">
        <f>'AnywherePrints BCR'!A2</f>
        <v>DoIT Integrated Media Technologies</v>
      </c>
      <c r="I2" s="54" t="s">
        <v>1</v>
      </c>
    </row>
    <row r="3" spans="1:15" x14ac:dyDescent="0.15">
      <c r="A3" s="100" t="str">
        <f>'AnywherePrints BCR'!A3</f>
        <v>FY 2017</v>
      </c>
      <c r="I3" s="54" t="s">
        <v>23</v>
      </c>
    </row>
    <row r="6" spans="1:15" x14ac:dyDescent="0.15">
      <c r="B6" s="1"/>
      <c r="C6" s="1"/>
      <c r="E6" s="1"/>
      <c r="F6" s="1"/>
      <c r="H6" s="1"/>
      <c r="I6" s="1"/>
      <c r="J6" s="3"/>
    </row>
    <row r="7" spans="1:15" x14ac:dyDescent="0.15">
      <c r="B7" s="1"/>
      <c r="C7" s="1"/>
      <c r="E7" s="1"/>
      <c r="F7" s="1"/>
      <c r="G7" s="1"/>
      <c r="H7" s="1"/>
      <c r="I7" s="1"/>
      <c r="J7" s="3"/>
    </row>
    <row r="8" spans="1:15" x14ac:dyDescent="0.15">
      <c r="B8" s="1"/>
      <c r="C8" s="1"/>
      <c r="D8" s="2"/>
      <c r="E8" s="2"/>
      <c r="F8" s="2"/>
      <c r="G8" s="2" t="s">
        <v>105</v>
      </c>
      <c r="H8" s="2"/>
      <c r="I8" s="2"/>
      <c r="J8" s="73"/>
      <c r="L8" s="26"/>
      <c r="M8" s="2" t="s">
        <v>155</v>
      </c>
      <c r="N8" s="42"/>
      <c r="O8" s="27"/>
    </row>
    <row r="9" spans="1:15" x14ac:dyDescent="0.15">
      <c r="B9" s="1"/>
      <c r="C9" s="1"/>
      <c r="E9" s="1"/>
      <c r="F9" s="1"/>
      <c r="G9" s="1"/>
      <c r="H9" s="1"/>
      <c r="I9" s="1"/>
      <c r="J9" s="57" t="s">
        <v>47</v>
      </c>
      <c r="N9" s="57" t="s">
        <v>47</v>
      </c>
    </row>
    <row r="10" spans="1:15" x14ac:dyDescent="0.15">
      <c r="D10" s="47" t="s">
        <v>4</v>
      </c>
      <c r="E10" s="47"/>
      <c r="F10" s="47" t="s">
        <v>3</v>
      </c>
      <c r="G10" s="47"/>
      <c r="H10" s="47"/>
      <c r="I10" s="47"/>
      <c r="J10" s="60" t="s">
        <v>4</v>
      </c>
      <c r="L10" s="47" t="s">
        <v>66</v>
      </c>
      <c r="M10" s="47"/>
      <c r="N10" s="282" t="s">
        <v>172</v>
      </c>
      <c r="O10" s="27"/>
    </row>
    <row r="11" spans="1:15" x14ac:dyDescent="0.15">
      <c r="E11" s="1"/>
      <c r="F11" s="1"/>
      <c r="G11" s="1"/>
      <c r="H11" s="1"/>
      <c r="I11" s="1"/>
      <c r="J11" s="3"/>
    </row>
    <row r="12" spans="1:15" x14ac:dyDescent="0.15">
      <c r="A12" t="s">
        <v>2</v>
      </c>
      <c r="E12" s="1"/>
      <c r="F12" s="1">
        <v>7.5</v>
      </c>
      <c r="G12" s="1" t="s">
        <v>5</v>
      </c>
      <c r="H12" s="1">
        <v>261</v>
      </c>
      <c r="I12" s="1" t="s">
        <v>6</v>
      </c>
      <c r="J12" s="3">
        <f>ROUND((F12*H12),0)</f>
        <v>1958</v>
      </c>
      <c r="L12" s="1">
        <v>7.55</v>
      </c>
      <c r="M12" t="s">
        <v>6</v>
      </c>
      <c r="N12" s="35">
        <f>ROUND((J12*L12),0)</f>
        <v>14783</v>
      </c>
    </row>
    <row r="13" spans="1:15" x14ac:dyDescent="0.15">
      <c r="A13" t="s">
        <v>7</v>
      </c>
      <c r="E13" s="1"/>
      <c r="F13" s="1"/>
      <c r="G13" s="1"/>
      <c r="H13" s="1"/>
      <c r="I13" s="1"/>
      <c r="J13" s="3"/>
      <c r="L13" s="1"/>
    </row>
    <row r="14" spans="1:15" x14ac:dyDescent="0.15">
      <c r="A14" t="s">
        <v>8</v>
      </c>
      <c r="E14" s="1"/>
      <c r="F14" s="1">
        <v>7.5</v>
      </c>
      <c r="G14" s="1" t="s">
        <v>5</v>
      </c>
      <c r="H14" s="1">
        <v>14</v>
      </c>
      <c r="I14" s="1" t="s">
        <v>6</v>
      </c>
      <c r="J14" s="3">
        <f>-ROUND((F14*H14),0)</f>
        <v>-105</v>
      </c>
      <c r="L14" s="1">
        <v>2.5499999999999998</v>
      </c>
      <c r="M14" t="s">
        <v>6</v>
      </c>
      <c r="N14" s="35">
        <f>ROUND((J14*L14),0)</f>
        <v>-268</v>
      </c>
    </row>
    <row r="15" spans="1:15" x14ac:dyDescent="0.15">
      <c r="A15" t="s">
        <v>9</v>
      </c>
      <c r="E15" s="1"/>
      <c r="F15" s="1">
        <v>7.5</v>
      </c>
      <c r="G15" s="1" t="s">
        <v>5</v>
      </c>
      <c r="H15" s="1">
        <v>12</v>
      </c>
      <c r="I15" s="1" t="s">
        <v>6</v>
      </c>
      <c r="J15" s="3">
        <f>-ROUND((F15*H15),0)</f>
        <v>-90</v>
      </c>
      <c r="L15" s="1">
        <v>2.5499999999999998</v>
      </c>
      <c r="M15" t="s">
        <v>6</v>
      </c>
      <c r="N15" s="35">
        <f>ROUND((J15*L15),0)</f>
        <v>-230</v>
      </c>
    </row>
    <row r="16" spans="1:15" x14ac:dyDescent="0.15">
      <c r="A16" t="s">
        <v>10</v>
      </c>
      <c r="E16" s="1"/>
      <c r="F16" s="1">
        <v>0.5</v>
      </c>
      <c r="G16" s="1" t="s">
        <v>5</v>
      </c>
      <c r="H16" s="1">
        <v>261</v>
      </c>
      <c r="I16" s="1" t="s">
        <v>6</v>
      </c>
      <c r="J16" s="3">
        <f>-ROUND((F16*H16),0)</f>
        <v>-131</v>
      </c>
      <c r="L16" s="1">
        <v>7.55</v>
      </c>
      <c r="M16" t="s">
        <v>6</v>
      </c>
      <c r="N16" s="35">
        <f>ROUND((J16*L16),0)</f>
        <v>-989</v>
      </c>
    </row>
    <row r="17" spans="1:15" x14ac:dyDescent="0.15">
      <c r="A17" t="s">
        <v>11</v>
      </c>
      <c r="E17" s="1"/>
      <c r="F17" s="1">
        <v>7.5</v>
      </c>
      <c r="G17" s="1" t="s">
        <v>5</v>
      </c>
      <c r="H17" s="1">
        <v>25</v>
      </c>
      <c r="I17" s="1" t="s">
        <v>6</v>
      </c>
      <c r="J17" s="3">
        <f>-ROUND((F17*H17),0)</f>
        <v>-188</v>
      </c>
      <c r="L17" s="1">
        <v>2.5499999999999998</v>
      </c>
      <c r="M17" t="s">
        <v>6</v>
      </c>
      <c r="N17" s="35">
        <f>ROUND((J17*L17),0)</f>
        <v>-479</v>
      </c>
    </row>
    <row r="18" spans="1:15" x14ac:dyDescent="0.15">
      <c r="B18" s="1"/>
      <c r="C18" s="1"/>
      <c r="E18" s="1"/>
      <c r="F18" s="1"/>
      <c r="G18" s="1"/>
      <c r="H18" s="1"/>
      <c r="I18" s="1"/>
      <c r="J18" s="3"/>
      <c r="L18" s="1"/>
    </row>
    <row r="19" spans="1:15" x14ac:dyDescent="0.15">
      <c r="A19" t="s">
        <v>12</v>
      </c>
      <c r="B19" s="1"/>
      <c r="C19" s="1"/>
      <c r="E19" s="1"/>
      <c r="F19" s="1"/>
      <c r="G19" s="1"/>
      <c r="H19" s="1"/>
      <c r="I19" s="1"/>
      <c r="J19" s="3">
        <f>ROUND(SUM(J12:J17),0)</f>
        <v>1444</v>
      </c>
      <c r="L19" s="1"/>
      <c r="N19" s="3">
        <f>ROUND(SUM(N12:N17),0)</f>
        <v>12817</v>
      </c>
    </row>
    <row r="20" spans="1:15" x14ac:dyDescent="0.15">
      <c r="B20" s="1"/>
      <c r="C20" s="1"/>
      <c r="E20" s="1"/>
      <c r="F20" s="1"/>
      <c r="G20" s="1"/>
      <c r="H20" s="1"/>
      <c r="I20" s="1"/>
      <c r="J20" s="3"/>
      <c r="L20" s="1"/>
    </row>
    <row r="21" spans="1:15" x14ac:dyDescent="0.15">
      <c r="B21" s="1"/>
      <c r="C21" s="1"/>
      <c r="E21" s="1"/>
      <c r="F21" s="1"/>
      <c r="G21" s="1"/>
      <c r="H21" s="1"/>
      <c r="I21" s="1"/>
      <c r="J21" s="3"/>
      <c r="L21" s="1"/>
    </row>
    <row r="22" spans="1:15" x14ac:dyDescent="0.15">
      <c r="A22" s="4"/>
    </row>
    <row r="23" spans="1:15" s="43" customFormat="1" x14ac:dyDescent="0.15">
      <c r="A23" s="4"/>
    </row>
    <row r="24" spans="1:15" s="43" customFormat="1" x14ac:dyDescent="0.15">
      <c r="A24" s="4"/>
      <c r="B24" s="45"/>
      <c r="N24" s="61"/>
    </row>
    <row r="25" spans="1:15" s="45" customFormat="1" x14ac:dyDescent="0.15">
      <c r="A25" s="54"/>
      <c r="B25" s="55" t="s">
        <v>67</v>
      </c>
      <c r="C25" s="55"/>
      <c r="D25" s="45" t="s">
        <v>69</v>
      </c>
      <c r="F25" s="56" t="s">
        <v>73</v>
      </c>
      <c r="G25" s="56"/>
      <c r="H25" s="45" t="s">
        <v>47</v>
      </c>
      <c r="K25" s="45" t="s">
        <v>47</v>
      </c>
      <c r="L25" s="45" t="s">
        <v>47</v>
      </c>
      <c r="N25" s="62"/>
      <c r="O25" s="55"/>
    </row>
    <row r="26" spans="1:15" s="45" customFormat="1" x14ac:dyDescent="0.15">
      <c r="A26" s="53" t="s">
        <v>15</v>
      </c>
      <c r="B26" s="58" t="s">
        <v>68</v>
      </c>
      <c r="C26" s="58"/>
      <c r="D26" s="47" t="s">
        <v>70</v>
      </c>
      <c r="E26" s="47"/>
      <c r="F26" s="59" t="s">
        <v>72</v>
      </c>
      <c r="G26" s="59"/>
      <c r="H26" s="59" t="s">
        <v>71</v>
      </c>
      <c r="K26" s="47" t="s">
        <v>41</v>
      </c>
      <c r="L26" s="47" t="s">
        <v>46</v>
      </c>
      <c r="N26" s="265" t="s">
        <v>156</v>
      </c>
      <c r="O26" s="58"/>
    </row>
    <row r="28" spans="1:15" x14ac:dyDescent="0.15">
      <c r="A28" s="4" t="s">
        <v>116</v>
      </c>
    </row>
    <row r="29" spans="1:15" x14ac:dyDescent="0.15">
      <c r="A29" s="220" t="str">
        <f>'Sch A-PerSvcs'!A32</f>
        <v>Staff Person</v>
      </c>
      <c r="B29" s="18">
        <v>1</v>
      </c>
      <c r="D29" s="1">
        <v>1</v>
      </c>
      <c r="F29" s="198">
        <f>'Sch A-PerSvcs'!D32</f>
        <v>18</v>
      </c>
      <c r="H29" s="278">
        <f>F29*1200</f>
        <v>21600</v>
      </c>
      <c r="K29" s="19">
        <f>H29</f>
        <v>21600</v>
      </c>
      <c r="L29" s="19">
        <f t="shared" ref="L29:L30" si="0">H29-K29</f>
        <v>0</v>
      </c>
      <c r="N29" s="35">
        <v>1200</v>
      </c>
    </row>
    <row r="30" spans="1:15" x14ac:dyDescent="0.15">
      <c r="A30" s="220" t="str">
        <f>'Sch A-PerSvcs'!A33</f>
        <v>Staff Person</v>
      </c>
      <c r="B30" s="18">
        <v>1</v>
      </c>
      <c r="D30" s="1">
        <v>1</v>
      </c>
      <c r="F30" s="198">
        <f>'Sch A-PerSvcs'!D33</f>
        <v>10.5</v>
      </c>
      <c r="H30" s="278">
        <f t="shared" ref="H30" si="1">F30*1200</f>
        <v>12600</v>
      </c>
      <c r="J30" s="280"/>
      <c r="K30" s="19">
        <f t="shared" ref="K30" si="2">H30</f>
        <v>12600</v>
      </c>
      <c r="L30" s="19">
        <f t="shared" si="0"/>
        <v>0</v>
      </c>
      <c r="N30" s="35">
        <v>1200</v>
      </c>
    </row>
    <row r="31" spans="1:15" x14ac:dyDescent="0.15">
      <c r="A31" s="220" t="str">
        <f>'Sch A-PerSvcs'!A20</f>
        <v>Staff Person</v>
      </c>
      <c r="B31" s="18">
        <v>0.25</v>
      </c>
      <c r="D31" s="1">
        <v>1</v>
      </c>
      <c r="F31" s="198">
        <f>'Sch A-PerSvcs'!D20</f>
        <v>17.91</v>
      </c>
      <c r="H31" s="278">
        <f>F31*1957.5*B31</f>
        <v>8764.7062499999993</v>
      </c>
      <c r="J31" s="280"/>
      <c r="K31" s="19">
        <f>$F31*($J$19*B31)</f>
        <v>6465.51</v>
      </c>
      <c r="L31" s="19">
        <f>H31-K31</f>
        <v>2299.1962499999991</v>
      </c>
      <c r="N31" s="35">
        <f>$J$19*B31</f>
        <v>361</v>
      </c>
    </row>
    <row r="32" spans="1:15" x14ac:dyDescent="0.15">
      <c r="A32" s="220" t="str">
        <f>'Sch A-PerSvcs'!A21</f>
        <v>Staff Person</v>
      </c>
      <c r="B32" s="18">
        <v>0.05</v>
      </c>
      <c r="D32" s="1">
        <v>1</v>
      </c>
      <c r="F32" s="198">
        <f>'Sch A-PerSvcs'!D21</f>
        <v>18.579999999999998</v>
      </c>
      <c r="H32" s="278">
        <f>F32*1957.5*B32</f>
        <v>1818.5174999999999</v>
      </c>
      <c r="J32" s="280"/>
      <c r="K32" s="19">
        <f>$F32*($J$19*B32)</f>
        <v>1341.4759999999999</v>
      </c>
      <c r="L32" s="19">
        <f>H32-K32</f>
        <v>477.04150000000004</v>
      </c>
      <c r="N32" s="35">
        <f>$J$19*B32</f>
        <v>72.2</v>
      </c>
    </row>
    <row r="33" spans="1:15" x14ac:dyDescent="0.15">
      <c r="A33" s="220" t="str">
        <f>'Sch A-PerSvcs'!A22</f>
        <v>Staff Person</v>
      </c>
      <c r="B33" s="18">
        <v>1</v>
      </c>
      <c r="D33" s="1">
        <v>1</v>
      </c>
      <c r="F33" s="198">
        <f>'Sch A-PerSvcs'!D22</f>
        <v>23.18</v>
      </c>
      <c r="H33" s="19">
        <f t="shared" ref="H33:H34" si="3">F33*1957.5*B33</f>
        <v>45374.85</v>
      </c>
      <c r="J33" s="280"/>
      <c r="K33" s="19">
        <f t="shared" ref="K33:K34" si="4">$F33*($J$19*B33)</f>
        <v>33471.919999999998</v>
      </c>
      <c r="L33" s="19">
        <f t="shared" ref="L33:L34" si="5">H33-K33</f>
        <v>11902.93</v>
      </c>
      <c r="N33" s="35">
        <f t="shared" ref="N33:N34" si="6">$J$19*B33</f>
        <v>1444</v>
      </c>
    </row>
    <row r="34" spans="1:15" x14ac:dyDescent="0.15">
      <c r="A34" s="220" t="str">
        <f>'Sch A-PerSvcs'!A23</f>
        <v>Staff Person</v>
      </c>
      <c r="B34" s="18">
        <v>0.33</v>
      </c>
      <c r="D34" s="1">
        <v>1</v>
      </c>
      <c r="F34" s="198">
        <f>'Sch A-PerSvcs'!D23</f>
        <v>12.48</v>
      </c>
      <c r="H34" s="19">
        <f t="shared" si="3"/>
        <v>8061.7680000000009</v>
      </c>
      <c r="K34" s="19">
        <f t="shared" si="4"/>
        <v>5946.9696000000004</v>
      </c>
      <c r="L34" s="19">
        <f t="shared" si="5"/>
        <v>2114.7984000000006</v>
      </c>
      <c r="N34" s="35">
        <f t="shared" si="6"/>
        <v>476.52000000000004</v>
      </c>
    </row>
    <row r="35" spans="1:15" x14ac:dyDescent="0.15">
      <c r="A35" s="220" t="s">
        <v>131</v>
      </c>
      <c r="B35" s="18">
        <v>1</v>
      </c>
      <c r="D35" s="1">
        <v>1</v>
      </c>
      <c r="F35" s="19">
        <v>8.25</v>
      </c>
      <c r="H35" s="19">
        <f>F35*7500*B35</f>
        <v>61875</v>
      </c>
      <c r="K35" s="188">
        <f>($F35*($J$19*B35))*3.5</f>
        <v>41695.5</v>
      </c>
      <c r="L35" s="188">
        <f>H35-K35</f>
        <v>20179.5</v>
      </c>
      <c r="N35" s="189">
        <v>7500</v>
      </c>
    </row>
    <row r="36" spans="1:15" s="156" customFormat="1" x14ac:dyDescent="0.15">
      <c r="B36" s="190"/>
      <c r="C36" s="190"/>
      <c r="D36" s="191"/>
      <c r="F36" s="188"/>
      <c r="G36" s="188"/>
      <c r="H36" s="188"/>
      <c r="K36" s="188"/>
      <c r="L36" s="188"/>
      <c r="N36" s="189"/>
      <c r="O36" s="190"/>
    </row>
    <row r="37" spans="1:15" x14ac:dyDescent="0.15">
      <c r="A37" s="26"/>
      <c r="B37" s="27"/>
      <c r="C37" s="27"/>
      <c r="D37" s="2"/>
      <c r="E37" s="26"/>
      <c r="F37" s="28"/>
      <c r="G37" s="28"/>
      <c r="H37" s="28"/>
      <c r="K37" s="28"/>
      <c r="L37" s="28"/>
      <c r="N37" s="42"/>
      <c r="O37" s="27"/>
    </row>
    <row r="39" spans="1:15" s="31" customFormat="1" x14ac:dyDescent="0.15">
      <c r="A39" s="31" t="s">
        <v>157</v>
      </c>
      <c r="B39" s="63"/>
      <c r="C39" s="63"/>
      <c r="D39" s="52"/>
      <c r="F39" s="64"/>
      <c r="G39" s="64"/>
      <c r="H39" s="64">
        <f>SUM(H29:H36)</f>
        <v>160094.84175000002</v>
      </c>
      <c r="K39" s="64">
        <f>SUM(K29:K36)</f>
        <v>123121.3756</v>
      </c>
      <c r="L39" s="64">
        <f>SUM(L29:L36)</f>
        <v>36973.46615</v>
      </c>
      <c r="N39" s="65">
        <f>SUM(N29:N35)</f>
        <v>12253.720000000001</v>
      </c>
      <c r="O39" s="63">
        <v>1</v>
      </c>
    </row>
    <row r="40" spans="1:15" x14ac:dyDescent="0.15">
      <c r="K40" s="19"/>
      <c r="L40" s="19"/>
    </row>
    <row r="42" spans="1:15" x14ac:dyDescent="0.15">
      <c r="A42" s="43" t="s">
        <v>74</v>
      </c>
    </row>
    <row r="43" spans="1:15" x14ac:dyDescent="0.15">
      <c r="A43" s="220" t="s">
        <v>169</v>
      </c>
      <c r="B43" s="18">
        <v>0.25</v>
      </c>
      <c r="D43" s="281">
        <v>2</v>
      </c>
      <c r="F43" s="19">
        <v>6053.94</v>
      </c>
      <c r="H43" s="19">
        <f>F43*12*B43</f>
        <v>18161.82</v>
      </c>
      <c r="J43" s="279"/>
      <c r="L43" s="19">
        <f>H43</f>
        <v>18161.82</v>
      </c>
    </row>
    <row r="44" spans="1:15" x14ac:dyDescent="0.15">
      <c r="A44" s="220" t="str">
        <f>'Sch A-PerSvcs'!A11</f>
        <v>Staff Person</v>
      </c>
      <c r="B44" s="18">
        <v>0.5</v>
      </c>
      <c r="D44" s="281">
        <v>2</v>
      </c>
      <c r="F44" s="19">
        <v>5118</v>
      </c>
      <c r="H44" s="19">
        <f>F44*12*B44</f>
        <v>30708</v>
      </c>
      <c r="L44" s="19">
        <f t="shared" ref="L44:L50" si="7">H44</f>
        <v>30708</v>
      </c>
    </row>
    <row r="45" spans="1:15" x14ac:dyDescent="0.15">
      <c r="A45" t="s">
        <v>158</v>
      </c>
      <c r="B45" s="18">
        <v>1</v>
      </c>
      <c r="H45" s="19">
        <v>46876.46</v>
      </c>
      <c r="L45" s="19">
        <f t="shared" si="7"/>
        <v>46876.46</v>
      </c>
    </row>
    <row r="46" spans="1:15" x14ac:dyDescent="0.15">
      <c r="A46" t="s">
        <v>129</v>
      </c>
      <c r="B46" s="18">
        <v>0</v>
      </c>
      <c r="D46" s="1">
        <v>2</v>
      </c>
      <c r="F46" s="19">
        <v>3801.75</v>
      </c>
      <c r="H46" s="19">
        <f>F46*12*B46</f>
        <v>0</v>
      </c>
      <c r="L46" s="19">
        <f t="shared" si="7"/>
        <v>0</v>
      </c>
    </row>
    <row r="47" spans="1:15" x14ac:dyDescent="0.15">
      <c r="A47" t="s">
        <v>130</v>
      </c>
      <c r="B47" s="18">
        <v>0</v>
      </c>
      <c r="D47" s="1">
        <v>2</v>
      </c>
      <c r="F47" s="19">
        <v>4591</v>
      </c>
      <c r="H47" s="19">
        <f>F47*12*B47</f>
        <v>0</v>
      </c>
      <c r="J47" s="279"/>
      <c r="L47" s="19">
        <f t="shared" si="7"/>
        <v>0</v>
      </c>
    </row>
    <row r="48" spans="1:15" x14ac:dyDescent="0.15">
      <c r="A48" t="s">
        <v>173</v>
      </c>
      <c r="B48" s="18">
        <v>0</v>
      </c>
      <c r="D48" s="1">
        <v>2</v>
      </c>
      <c r="F48" s="19">
        <v>4231</v>
      </c>
      <c r="H48" s="19">
        <f t="shared" ref="H48:H50" si="8">F48*12*B48</f>
        <v>0</v>
      </c>
      <c r="L48" s="19">
        <f t="shared" si="7"/>
        <v>0</v>
      </c>
    </row>
    <row r="49" spans="1:15" x14ac:dyDescent="0.15">
      <c r="A49" t="s">
        <v>174</v>
      </c>
      <c r="B49" s="18">
        <v>0</v>
      </c>
      <c r="D49" s="1">
        <v>2</v>
      </c>
      <c r="F49" s="19">
        <v>2952</v>
      </c>
      <c r="H49" s="19">
        <f t="shared" si="8"/>
        <v>0</v>
      </c>
      <c r="L49" s="19">
        <f t="shared" si="7"/>
        <v>0</v>
      </c>
    </row>
    <row r="50" spans="1:15" x14ac:dyDescent="0.15">
      <c r="A50" t="s">
        <v>132</v>
      </c>
      <c r="B50" s="18">
        <v>0</v>
      </c>
      <c r="D50" s="1">
        <v>2</v>
      </c>
      <c r="F50" s="19">
        <v>4375</v>
      </c>
      <c r="H50" s="19">
        <f t="shared" si="8"/>
        <v>0</v>
      </c>
      <c r="J50" s="279"/>
      <c r="L50" s="19">
        <f t="shared" si="7"/>
        <v>0</v>
      </c>
    </row>
    <row r="51" spans="1:15" x14ac:dyDescent="0.15">
      <c r="A51" s="26"/>
      <c r="B51" s="27"/>
      <c r="C51" s="27"/>
      <c r="D51" s="2"/>
      <c r="E51" s="26"/>
      <c r="F51" s="28"/>
      <c r="G51" s="28"/>
      <c r="H51" s="28"/>
      <c r="L51" s="28"/>
    </row>
    <row r="52" spans="1:15" x14ac:dyDescent="0.15">
      <c r="L52" s="19"/>
    </row>
    <row r="53" spans="1:15" x14ac:dyDescent="0.15">
      <c r="A53" t="s">
        <v>59</v>
      </c>
      <c r="H53" s="19">
        <f>SUM(H42:H51)</f>
        <v>95746.28</v>
      </c>
      <c r="L53" s="19">
        <f>SUM(L42:L51)</f>
        <v>95746.28</v>
      </c>
    </row>
    <row r="54" spans="1:15" x14ac:dyDescent="0.15">
      <c r="L54" s="19"/>
    </row>
    <row r="55" spans="1:15" s="43" customFormat="1" ht="15" thickBot="1" x14ac:dyDescent="0.2">
      <c r="A55" s="48" t="s">
        <v>60</v>
      </c>
      <c r="B55" s="49"/>
      <c r="C55" s="49"/>
      <c r="D55" s="50"/>
      <c r="E55" s="48"/>
      <c r="F55" s="51"/>
      <c r="G55" s="51"/>
      <c r="H55" s="51">
        <f>H39+H53</f>
        <v>255841.12175000002</v>
      </c>
      <c r="K55" s="51">
        <f>K39+K53</f>
        <v>123121.3756</v>
      </c>
      <c r="L55" s="51">
        <f>L39+L53</f>
        <v>132719.74614999999</v>
      </c>
      <c r="N55" s="46"/>
      <c r="O55" s="44"/>
    </row>
    <row r="56" spans="1:15" ht="15" thickTop="1" x14ac:dyDescent="0.15"/>
    <row r="58" spans="1:15" x14ac:dyDescent="0.15">
      <c r="A58" t="s">
        <v>159</v>
      </c>
      <c r="K58" t="s">
        <v>123</v>
      </c>
      <c r="L58" s="19">
        <f>L55+K55-H55</f>
        <v>0</v>
      </c>
    </row>
  </sheetData>
  <phoneticPr fontId="13" type="noConversion"/>
  <pageMargins left="0.75" right="0.25" top="0.75" bottom="0.25" header="0.3" footer="0.3"/>
  <pageSetup scale="72" fitToHeight="0" orientation="portrait" verticalDpi="0" r:id="rId1"/>
  <headerFooter>
    <oddHeader>&amp;RPage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baseColWidth="10" defaultColWidth="9" defaultRowHeight="12" x14ac:dyDescent="0.15"/>
  <cols>
    <col min="1" max="1" width="3.33203125" style="85" customWidth="1"/>
    <col min="2" max="2" width="40.6640625" style="76" bestFit="1" customWidth="1"/>
    <col min="3" max="3" width="8.83203125" style="76" customWidth="1"/>
    <col min="4" max="4" width="11.6640625" style="80" customWidth="1"/>
    <col min="5" max="5" width="11.1640625" style="78" customWidth="1"/>
    <col min="6" max="6" width="8.1640625" style="101" customWidth="1"/>
    <col min="7" max="7" width="12.6640625" style="78" customWidth="1"/>
    <col min="8" max="8" width="8.83203125" style="101" customWidth="1"/>
    <col min="9" max="9" width="13.33203125" style="78" customWidth="1"/>
    <col min="10" max="10" width="8.1640625" style="101" customWidth="1"/>
    <col min="11" max="16384" width="9" style="76"/>
  </cols>
  <sheetData>
    <row r="1" spans="1:11" x14ac:dyDescent="0.15">
      <c r="A1" s="75" t="s">
        <v>13</v>
      </c>
      <c r="F1" s="77" t="s">
        <v>19</v>
      </c>
    </row>
    <row r="2" spans="1:11" x14ac:dyDescent="0.15">
      <c r="A2" s="75" t="str">
        <f>'AnywherePrints BCR'!A2</f>
        <v>DoIT Integrated Media Technologies</v>
      </c>
      <c r="F2" s="77" t="s">
        <v>62</v>
      </c>
    </row>
    <row r="3" spans="1:11" x14ac:dyDescent="0.15">
      <c r="A3" s="183" t="str">
        <f>'AnywherePrints BCR'!A3</f>
        <v>FY 2017</v>
      </c>
    </row>
    <row r="4" spans="1:11" s="79" customFormat="1" ht="22.5" customHeight="1" x14ac:dyDescent="0.15">
      <c r="A4" s="86"/>
      <c r="B4" s="87" t="s">
        <v>75</v>
      </c>
      <c r="C4" s="88" t="s">
        <v>16</v>
      </c>
      <c r="D4" s="88" t="s">
        <v>17</v>
      </c>
      <c r="E4" s="89" t="s">
        <v>18</v>
      </c>
      <c r="F4" s="102"/>
      <c r="G4" s="89" t="s">
        <v>78</v>
      </c>
      <c r="H4" s="102"/>
      <c r="I4" s="192" t="s">
        <v>180</v>
      </c>
      <c r="J4" s="104"/>
    </row>
    <row r="5" spans="1:11" s="79" customFormat="1" ht="22.5" customHeight="1" x14ac:dyDescent="0.15">
      <c r="A5" s="251"/>
      <c r="B5" s="252"/>
      <c r="C5" s="253"/>
      <c r="D5" s="253"/>
      <c r="E5" s="254"/>
      <c r="F5" s="102"/>
      <c r="G5" s="254"/>
      <c r="H5" s="102"/>
      <c r="I5" s="255"/>
      <c r="J5" s="104"/>
    </row>
    <row r="6" spans="1:11" s="79" customFormat="1" ht="11.25" customHeight="1" x14ac:dyDescent="0.15">
      <c r="A6" s="75" t="s">
        <v>151</v>
      </c>
      <c r="B6" s="252"/>
      <c r="C6" s="253"/>
      <c r="D6" s="253"/>
      <c r="E6" s="254"/>
      <c r="F6" s="102"/>
      <c r="G6" s="254"/>
      <c r="H6" s="102"/>
      <c r="I6" s="255"/>
      <c r="J6" s="104"/>
    </row>
    <row r="7" spans="1:11" s="79" customFormat="1" ht="11.25" customHeight="1" x14ac:dyDescent="0.15">
      <c r="A7" s="251"/>
      <c r="B7" s="257" t="s">
        <v>34</v>
      </c>
      <c r="C7" s="88"/>
      <c r="D7" s="88"/>
      <c r="E7" s="203">
        <v>0</v>
      </c>
      <c r="F7" s="206">
        <f>E7</f>
        <v>0</v>
      </c>
      <c r="G7" s="203">
        <f t="shared" ref="G7" si="0">ROUND((E7*1.05),0)</f>
        <v>0</v>
      </c>
      <c r="H7" s="206">
        <f>G7</f>
        <v>0</v>
      </c>
      <c r="I7" s="203">
        <f>G7/3</f>
        <v>0</v>
      </c>
      <c r="J7" s="256">
        <f>I7</f>
        <v>0</v>
      </c>
    </row>
    <row r="8" spans="1:11" s="79" customFormat="1" ht="11.25" customHeight="1" x14ac:dyDescent="0.15">
      <c r="A8" s="251"/>
      <c r="B8" s="252"/>
      <c r="C8" s="253"/>
      <c r="D8" s="253"/>
      <c r="E8" s="254"/>
      <c r="F8" s="102"/>
      <c r="G8" s="254"/>
      <c r="H8" s="102"/>
      <c r="I8" s="255"/>
      <c r="J8" s="104"/>
    </row>
    <row r="9" spans="1:11" s="79" customFormat="1" ht="11.25" customHeight="1" x14ac:dyDescent="0.15">
      <c r="A9" s="251"/>
      <c r="B9" s="252"/>
      <c r="C9" s="253"/>
      <c r="D9" s="253"/>
      <c r="E9" s="254"/>
      <c r="F9" s="102"/>
      <c r="G9" s="254"/>
      <c r="H9" s="102"/>
      <c r="I9" s="255"/>
      <c r="J9" s="104"/>
    </row>
    <row r="10" spans="1:11" ht="11.25" customHeight="1" x14ac:dyDescent="0.15"/>
    <row r="12" spans="1:11" x14ac:dyDescent="0.15">
      <c r="A12" s="75" t="s">
        <v>150</v>
      </c>
    </row>
    <row r="13" spans="1:11" x14ac:dyDescent="0.15">
      <c r="A13" s="105" t="s">
        <v>79</v>
      </c>
      <c r="B13" s="207" t="s">
        <v>179</v>
      </c>
      <c r="C13" s="209"/>
      <c r="D13" s="208"/>
      <c r="E13" s="204">
        <v>0</v>
      </c>
      <c r="F13" s="210"/>
      <c r="G13" s="201">
        <f t="shared" ref="G13:G17" si="1">ROUND((E13*1.05),0)</f>
        <v>0</v>
      </c>
      <c r="H13" s="210"/>
      <c r="I13" s="201">
        <v>341.85</v>
      </c>
      <c r="J13" s="210" t="s">
        <v>79</v>
      </c>
      <c r="K13" s="277"/>
    </row>
    <row r="14" spans="1:11" x14ac:dyDescent="0.15">
      <c r="A14" s="266" t="s">
        <v>160</v>
      </c>
      <c r="B14" s="76" t="s">
        <v>104</v>
      </c>
      <c r="E14" s="78">
        <v>4500</v>
      </c>
      <c r="G14" s="78">
        <f t="shared" si="1"/>
        <v>4725</v>
      </c>
      <c r="I14" s="78">
        <f>G14/3</f>
        <v>1575</v>
      </c>
      <c r="J14" s="283" t="s">
        <v>160</v>
      </c>
    </row>
    <row r="15" spans="1:11" x14ac:dyDescent="0.15">
      <c r="A15" s="105" t="s">
        <v>84</v>
      </c>
      <c r="B15" s="76" t="s">
        <v>86</v>
      </c>
      <c r="E15" s="78">
        <v>1000</v>
      </c>
      <c r="G15" s="78">
        <f t="shared" si="1"/>
        <v>1050</v>
      </c>
      <c r="I15" s="78">
        <f>G15/5</f>
        <v>210</v>
      </c>
      <c r="J15" s="101" t="s">
        <v>84</v>
      </c>
    </row>
    <row r="16" spans="1:11" x14ac:dyDescent="0.15">
      <c r="B16" s="76" t="s">
        <v>64</v>
      </c>
      <c r="E16" s="78">
        <v>0</v>
      </c>
      <c r="G16" s="78">
        <f t="shared" si="1"/>
        <v>0</v>
      </c>
    </row>
    <row r="17" spans="1:10" x14ac:dyDescent="0.15">
      <c r="B17" s="81" t="s">
        <v>63</v>
      </c>
      <c r="C17" s="81"/>
      <c r="D17" s="82"/>
      <c r="E17" s="83">
        <v>0</v>
      </c>
      <c r="F17" s="206">
        <f>SUM(E12:E17)</f>
        <v>5500</v>
      </c>
      <c r="G17" s="203">
        <f t="shared" si="1"/>
        <v>0</v>
      </c>
      <c r="H17" s="206">
        <f>SUM(G12:G17)</f>
        <v>5775</v>
      </c>
      <c r="I17" s="203"/>
      <c r="J17" s="206">
        <f>SUM(I12:I17)</f>
        <v>2126.85</v>
      </c>
    </row>
    <row r="19" spans="1:10" s="200" customFormat="1" x14ac:dyDescent="0.15">
      <c r="A19" s="85"/>
      <c r="D19" s="202"/>
      <c r="E19" s="201"/>
      <c r="F19" s="205"/>
      <c r="G19" s="201"/>
      <c r="H19" s="205"/>
      <c r="I19" s="201"/>
      <c r="J19" s="205"/>
    </row>
    <row r="20" spans="1:10" ht="13" thickBot="1" x14ac:dyDescent="0.2">
      <c r="A20" s="76"/>
      <c r="E20" s="106" t="s">
        <v>80</v>
      </c>
      <c r="F20" s="103">
        <f>SUM(F7:F17)</f>
        <v>5500</v>
      </c>
      <c r="H20" s="103">
        <f>SUM(H7:H17)</f>
        <v>5775</v>
      </c>
      <c r="J20" s="103">
        <f>SUM(J7:J17)</f>
        <v>2126.85</v>
      </c>
    </row>
    <row r="21" spans="1:10" ht="13" thickTop="1" x14ac:dyDescent="0.15">
      <c r="A21" s="105" t="s">
        <v>79</v>
      </c>
      <c r="B21" s="200" t="s">
        <v>161</v>
      </c>
    </row>
    <row r="22" spans="1:10" s="200" customFormat="1" x14ac:dyDescent="0.15">
      <c r="A22" s="266" t="s">
        <v>160</v>
      </c>
      <c r="B22" s="76" t="s">
        <v>83</v>
      </c>
      <c r="D22" s="202"/>
      <c r="E22" s="201"/>
      <c r="F22" s="205"/>
      <c r="G22" s="201"/>
      <c r="H22" s="205"/>
      <c r="I22" s="201"/>
      <c r="J22" s="205"/>
    </row>
    <row r="23" spans="1:10" x14ac:dyDescent="0.15">
      <c r="A23" s="105" t="s">
        <v>84</v>
      </c>
      <c r="B23" s="76" t="s">
        <v>85</v>
      </c>
    </row>
  </sheetData>
  <phoneticPr fontId="13" type="noConversion"/>
  <printOptions horizontalCentered="1"/>
  <pageMargins left="0.75" right="0.25" top="0.75" bottom="0.25" header="0.3" footer="0.3"/>
  <pageSetup scale="76" orientation="portrait" verticalDpi="0" r:id="rId1"/>
  <headerFooter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27" sqref="K27"/>
    </sheetView>
  </sheetViews>
  <sheetFormatPr baseColWidth="10" defaultColWidth="9" defaultRowHeight="13" x14ac:dyDescent="0.15"/>
  <cols>
    <col min="1" max="1" width="5.5" style="39" customWidth="1"/>
    <col min="2" max="2" width="28.5" style="39" customWidth="1"/>
    <col min="3" max="3" width="15.1640625" style="37" customWidth="1"/>
    <col min="4" max="4" width="19.83203125" style="97" customWidth="1"/>
    <col min="5" max="5" width="17.6640625" style="39" customWidth="1"/>
    <col min="6" max="6" width="3.1640625" style="39" customWidth="1"/>
    <col min="7" max="7" width="17.6640625" style="90" customWidth="1"/>
    <col min="8" max="8" width="17.33203125" style="39" customWidth="1"/>
    <col min="9" max="16384" width="9" style="39"/>
  </cols>
  <sheetData>
    <row r="1" spans="1:8" ht="14" x14ac:dyDescent="0.15">
      <c r="A1" s="100" t="str">
        <f>'AnywherePrints BCR'!A1</f>
        <v>Northern Illinois University</v>
      </c>
      <c r="D1" s="67" t="s">
        <v>22</v>
      </c>
    </row>
    <row r="2" spans="1:8" ht="14" x14ac:dyDescent="0.15">
      <c r="A2" s="100" t="str">
        <f>'AnywherePrints BCR'!A2</f>
        <v>DoIT Integrated Media Technologies</v>
      </c>
      <c r="D2" s="67" t="s">
        <v>42</v>
      </c>
    </row>
    <row r="3" spans="1:8" ht="14" x14ac:dyDescent="0.15">
      <c r="A3" s="100" t="str">
        <f>'AnywherePrints BCR'!A3</f>
        <v>FY 2017</v>
      </c>
      <c r="C3" s="67"/>
      <c r="D3" s="67" t="s">
        <v>21</v>
      </c>
    </row>
    <row r="6" spans="1:8" s="93" customFormat="1" ht="43.5" customHeight="1" x14ac:dyDescent="0.15">
      <c r="A6" s="91" t="s">
        <v>15</v>
      </c>
      <c r="B6" s="84"/>
      <c r="C6" s="84" t="s">
        <v>61</v>
      </c>
      <c r="D6" s="92" t="s">
        <v>20</v>
      </c>
      <c r="E6" s="260" t="s">
        <v>184</v>
      </c>
      <c r="G6" s="260" t="s">
        <v>183</v>
      </c>
      <c r="H6" s="260" t="s">
        <v>153</v>
      </c>
    </row>
    <row r="7" spans="1:8" x14ac:dyDescent="0.15">
      <c r="E7" s="90"/>
      <c r="G7" s="39"/>
    </row>
    <row r="8" spans="1:8" s="41" customFormat="1" ht="14.25" customHeight="1" x14ac:dyDescent="0.15">
      <c r="A8" s="32" t="s">
        <v>126</v>
      </c>
      <c r="C8" s="94"/>
      <c r="D8" s="95">
        <f>(10*15)+(6*10)</f>
        <v>210</v>
      </c>
      <c r="E8" s="96">
        <f>D8/$D$18</f>
        <v>0.58333333333333337</v>
      </c>
      <c r="G8" s="261">
        <v>0</v>
      </c>
      <c r="H8" s="261">
        <f>G8*D8</f>
        <v>0</v>
      </c>
    </row>
    <row r="9" spans="1:8" x14ac:dyDescent="0.15">
      <c r="B9" s="29" t="s">
        <v>100</v>
      </c>
      <c r="C9" s="68" t="s">
        <v>102</v>
      </c>
      <c r="E9" s="90"/>
      <c r="G9" s="262"/>
      <c r="H9" s="262"/>
    </row>
    <row r="10" spans="1:8" x14ac:dyDescent="0.15">
      <c r="B10" s="29" t="s">
        <v>101</v>
      </c>
      <c r="C10" s="68" t="s">
        <v>103</v>
      </c>
      <c r="E10" s="90"/>
      <c r="G10" s="262"/>
      <c r="H10" s="262"/>
    </row>
    <row r="11" spans="1:8" x14ac:dyDescent="0.15">
      <c r="B11" s="29"/>
      <c r="E11" s="90"/>
      <c r="G11" s="262"/>
      <c r="H11" s="262"/>
    </row>
    <row r="12" spans="1:8" s="41" customFormat="1" x14ac:dyDescent="0.15">
      <c r="A12" s="32"/>
      <c r="C12" s="94"/>
      <c r="D12" s="95"/>
      <c r="E12" s="96"/>
      <c r="G12" s="261"/>
      <c r="H12" s="261"/>
    </row>
    <row r="13" spans="1:8" s="41" customFormat="1" x14ac:dyDescent="0.15">
      <c r="A13" s="32" t="s">
        <v>181</v>
      </c>
      <c r="C13" s="94"/>
      <c r="D13" s="95">
        <f>(10*15)</f>
        <v>150</v>
      </c>
      <c r="E13" s="96">
        <f>D13/$D$18</f>
        <v>0.41666666666666669</v>
      </c>
      <c r="G13" s="261">
        <v>100</v>
      </c>
      <c r="H13" s="261">
        <f>G13*D13</f>
        <v>15000</v>
      </c>
    </row>
    <row r="14" spans="1:8" s="41" customFormat="1" x14ac:dyDescent="0.15">
      <c r="A14" s="32"/>
      <c r="B14" s="211" t="s">
        <v>182</v>
      </c>
      <c r="C14" s="68" t="s">
        <v>102</v>
      </c>
      <c r="D14" s="95"/>
      <c r="E14" s="96"/>
      <c r="G14" s="261"/>
      <c r="H14" s="261"/>
    </row>
    <row r="15" spans="1:8" s="41" customFormat="1" x14ac:dyDescent="0.15">
      <c r="C15" s="94"/>
      <c r="D15" s="95"/>
      <c r="E15" s="96"/>
      <c r="G15" s="261"/>
      <c r="H15" s="261"/>
    </row>
    <row r="16" spans="1:8" x14ac:dyDescent="0.15">
      <c r="A16" s="74"/>
      <c r="B16" s="74"/>
      <c r="C16" s="38"/>
      <c r="D16" s="98"/>
      <c r="E16" s="99"/>
      <c r="G16" s="263"/>
      <c r="H16" s="263"/>
    </row>
    <row r="17" spans="1:8" x14ac:dyDescent="0.15">
      <c r="E17" s="90"/>
      <c r="G17" s="262"/>
      <c r="H17" s="262"/>
    </row>
    <row r="18" spans="1:8" s="41" customFormat="1" x14ac:dyDescent="0.15">
      <c r="A18" s="32" t="s">
        <v>154</v>
      </c>
      <c r="C18" s="94"/>
      <c r="D18" s="95">
        <f>SUM(D7:D16)</f>
        <v>360</v>
      </c>
      <c r="E18" s="96">
        <f>SUM(E7:E16)</f>
        <v>1</v>
      </c>
      <c r="G18" s="261">
        <f>SUM(G8:G16)</f>
        <v>100</v>
      </c>
      <c r="H18" s="261">
        <f>SUM(H8:H16)</f>
        <v>15000</v>
      </c>
    </row>
    <row r="23" spans="1:8" ht="13" customHeight="1" x14ac:dyDescent="0.15">
      <c r="B23" s="289" t="s">
        <v>186</v>
      </c>
      <c r="C23" s="289"/>
      <c r="D23" s="289"/>
      <c r="E23" s="289"/>
    </row>
    <row r="24" spans="1:8" x14ac:dyDescent="0.15">
      <c r="B24" s="289"/>
      <c r="C24" s="289"/>
      <c r="D24" s="289"/>
      <c r="E24" s="289"/>
    </row>
    <row r="25" spans="1:8" x14ac:dyDescent="0.15">
      <c r="B25" s="288"/>
      <c r="C25" s="288"/>
      <c r="D25" s="288"/>
      <c r="E25" s="288"/>
    </row>
    <row r="26" spans="1:8" x14ac:dyDescent="0.15">
      <c r="B26" s="288"/>
      <c r="C26" s="288"/>
      <c r="D26" s="288"/>
      <c r="E26" s="288"/>
    </row>
    <row r="27" spans="1:8" x14ac:dyDescent="0.15">
      <c r="B27" s="288"/>
      <c r="C27" s="288"/>
      <c r="D27" s="288"/>
      <c r="E27" s="288"/>
    </row>
  </sheetData>
  <mergeCells count="1">
    <mergeCell ref="B23:E24"/>
  </mergeCells>
  <phoneticPr fontId="13" type="noConversion"/>
  <pageMargins left="0.75" right="0.25" top="0.75" bottom="0.25" header="0.3" footer="0.3"/>
  <pageSetup orientation="portrait" verticalDpi="0" r:id="rId1"/>
  <headerFooter>
    <oddHeader>&amp;R&amp;8Page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4"/>
  <sheetViews>
    <sheetView topLeftCell="A9" workbookViewId="0">
      <selection activeCell="J39" sqref="J39"/>
    </sheetView>
  </sheetViews>
  <sheetFormatPr baseColWidth="10" defaultColWidth="9" defaultRowHeight="13" x14ac:dyDescent="0.15"/>
  <cols>
    <col min="1" max="1" width="61.5" style="39" customWidth="1"/>
    <col min="2" max="2" width="12.6640625" style="39" customWidth="1"/>
    <col min="3" max="3" width="18.83203125" style="39" customWidth="1"/>
    <col min="4" max="4" width="12.33203125" style="39" customWidth="1"/>
    <col min="5" max="5" width="13.33203125" style="39" customWidth="1"/>
    <col min="6" max="6" width="13" style="39" customWidth="1"/>
    <col min="7" max="7" width="11.5" style="39" customWidth="1"/>
    <col min="8" max="8" width="17" style="237" customWidth="1"/>
    <col min="9" max="10" width="9" style="237"/>
    <col min="11" max="16384" width="9" style="39"/>
  </cols>
  <sheetData>
    <row r="1" spans="1:11" x14ac:dyDescent="0.15">
      <c r="A1" s="155" t="str">
        <f>'AnywherePrints BCR'!A1</f>
        <v>Northern Illinois University</v>
      </c>
      <c r="D1" s="67" t="s">
        <v>35</v>
      </c>
    </row>
    <row r="2" spans="1:11" x14ac:dyDescent="0.15">
      <c r="A2" s="155" t="str">
        <f>'AnywherePrints BCR'!A2</f>
        <v>DoIT Integrated Media Technologies</v>
      </c>
      <c r="D2" s="67" t="s">
        <v>90</v>
      </c>
    </row>
    <row r="3" spans="1:11" x14ac:dyDescent="0.15">
      <c r="A3" s="155" t="str">
        <f>'AnywherePrints BCR'!A3</f>
        <v>FY 2017</v>
      </c>
      <c r="C3" s="67"/>
    </row>
    <row r="4" spans="1:11" x14ac:dyDescent="0.15">
      <c r="A4" s="71"/>
      <c r="C4" s="67"/>
    </row>
    <row r="6" spans="1:11" ht="15" x14ac:dyDescent="0.15">
      <c r="A6" s="70" t="s">
        <v>136</v>
      </c>
      <c r="B6" s="69" t="s">
        <v>57</v>
      </c>
      <c r="C6" s="69" t="s">
        <v>15</v>
      </c>
      <c r="D6" s="69" t="s">
        <v>28</v>
      </c>
      <c r="E6" s="68"/>
      <c r="F6" s="68"/>
    </row>
    <row r="7" spans="1:11" x14ac:dyDescent="0.15">
      <c r="A7" s="29"/>
      <c r="B7" s="29"/>
      <c r="C7" s="29"/>
      <c r="D7" s="29"/>
      <c r="E7" s="29"/>
      <c r="F7" s="29"/>
    </row>
    <row r="8" spans="1:11" x14ac:dyDescent="0.15">
      <c r="A8" s="211"/>
      <c r="B8" s="211"/>
      <c r="C8" s="211"/>
      <c r="D8" s="211"/>
      <c r="E8" s="211"/>
      <c r="F8" s="211"/>
    </row>
    <row r="9" spans="1:11" x14ac:dyDescent="0.15">
      <c r="A9" s="211"/>
      <c r="B9" s="211"/>
      <c r="C9" s="211"/>
      <c r="D9" s="214"/>
      <c r="E9" s="212"/>
      <c r="F9" s="199"/>
    </row>
    <row r="10" spans="1:11" x14ac:dyDescent="0.15">
      <c r="A10" s="211" t="s">
        <v>106</v>
      </c>
      <c r="B10" s="211" t="s">
        <v>107</v>
      </c>
      <c r="C10" s="30" t="s">
        <v>125</v>
      </c>
      <c r="D10" s="214">
        <v>1900</v>
      </c>
      <c r="E10" s="212"/>
      <c r="F10" s="211"/>
    </row>
    <row r="11" spans="1:11" x14ac:dyDescent="0.15">
      <c r="A11" s="211" t="s">
        <v>166</v>
      </c>
      <c r="B11" s="211" t="s">
        <v>58</v>
      </c>
      <c r="C11" s="30" t="s">
        <v>125</v>
      </c>
      <c r="D11" s="213">
        <v>550000</v>
      </c>
      <c r="E11" s="212"/>
      <c r="F11" s="29"/>
      <c r="G11" s="29"/>
    </row>
    <row r="12" spans="1:11" x14ac:dyDescent="0.15">
      <c r="A12" s="29"/>
      <c r="B12" s="29"/>
      <c r="C12" s="29"/>
      <c r="D12" s="36"/>
      <c r="E12" s="36"/>
      <c r="F12" s="29"/>
    </row>
    <row r="13" spans="1:11" ht="14" thickBot="1" x14ac:dyDescent="0.2">
      <c r="A13" s="32" t="s">
        <v>135</v>
      </c>
      <c r="B13" s="29"/>
      <c r="C13" s="29"/>
      <c r="D13" s="36"/>
      <c r="E13" s="40">
        <f>SUM(D8:D11)</f>
        <v>551900</v>
      </c>
      <c r="F13" s="29"/>
    </row>
    <row r="14" spans="1:11" ht="14" thickTop="1" x14ac:dyDescent="0.15">
      <c r="A14" s="29"/>
      <c r="B14" s="29"/>
      <c r="C14" s="29"/>
      <c r="D14" s="29"/>
      <c r="E14" s="29"/>
      <c r="F14" s="29"/>
    </row>
    <row r="15" spans="1:11" ht="15" x14ac:dyDescent="0.15">
      <c r="A15" s="70" t="s">
        <v>134</v>
      </c>
      <c r="B15" s="69" t="s">
        <v>57</v>
      </c>
      <c r="C15" s="69" t="s">
        <v>15</v>
      </c>
      <c r="D15" s="69" t="s">
        <v>28</v>
      </c>
      <c r="E15" s="68"/>
      <c r="F15" s="284"/>
      <c r="G15" s="285"/>
      <c r="K15" s="285"/>
    </row>
    <row r="16" spans="1:11" x14ac:dyDescent="0.15">
      <c r="A16" s="29"/>
      <c r="B16" s="29"/>
      <c r="C16" s="29"/>
      <c r="D16" s="29"/>
      <c r="E16" s="29"/>
      <c r="F16" s="286"/>
      <c r="G16" s="285"/>
      <c r="H16" s="238"/>
      <c r="I16" s="239"/>
      <c r="J16" s="240"/>
      <c r="K16" s="285"/>
    </row>
    <row r="17" spans="1:11" x14ac:dyDescent="0.15">
      <c r="A17" s="269" t="s">
        <v>177</v>
      </c>
      <c r="B17" s="269" t="s">
        <v>124</v>
      </c>
      <c r="C17" s="270" t="s">
        <v>125</v>
      </c>
      <c r="D17" s="271">
        <f>15000000*0.00668</f>
        <v>100200</v>
      </c>
      <c r="E17" s="211"/>
      <c r="F17" s="287"/>
      <c r="G17" s="287"/>
      <c r="H17" s="287"/>
      <c r="I17" s="287"/>
      <c r="J17" s="287"/>
      <c r="K17" s="287"/>
    </row>
    <row r="18" spans="1:11" x14ac:dyDescent="0.15">
      <c r="A18" s="269" t="s">
        <v>178</v>
      </c>
      <c r="B18" s="269" t="s">
        <v>124</v>
      </c>
      <c r="C18" s="270" t="s">
        <v>125</v>
      </c>
      <c r="D18" s="272">
        <f>1000000*0.01336</f>
        <v>13360</v>
      </c>
      <c r="E18" s="29"/>
      <c r="F18" s="287"/>
      <c r="G18" s="287"/>
      <c r="H18" s="287"/>
      <c r="I18" s="287"/>
      <c r="J18" s="287"/>
      <c r="K18" s="287"/>
    </row>
    <row r="19" spans="1:11" s="29" customFormat="1" x14ac:dyDescent="0.15">
      <c r="A19" s="71"/>
      <c r="B19" s="39"/>
      <c r="C19" s="67"/>
      <c r="D19" s="36"/>
      <c r="E19" s="36"/>
      <c r="F19" s="286"/>
      <c r="G19" s="286"/>
      <c r="H19" s="240"/>
      <c r="I19" s="243"/>
      <c r="J19" s="242"/>
      <c r="K19" s="286"/>
    </row>
    <row r="20" spans="1:11" s="29" customFormat="1" ht="14" thickBot="1" x14ac:dyDescent="0.2">
      <c r="A20" s="32" t="s">
        <v>133</v>
      </c>
      <c r="D20" s="36"/>
      <c r="E20" s="40">
        <f>SUM(D16:D18)</f>
        <v>113560</v>
      </c>
      <c r="F20" s="286"/>
      <c r="G20" s="286"/>
      <c r="H20" s="240"/>
      <c r="I20" s="243"/>
      <c r="J20" s="242"/>
      <c r="K20" s="286"/>
    </row>
    <row r="21" spans="1:11" s="29" customFormat="1" ht="14" thickTop="1" x14ac:dyDescent="0.15">
      <c r="D21" s="36"/>
      <c r="E21" s="66"/>
      <c r="H21" s="241"/>
      <c r="I21" s="243"/>
      <c r="J21" s="242"/>
    </row>
    <row r="22" spans="1:11" s="29" customFormat="1" x14ac:dyDescent="0.15">
      <c r="D22" s="36"/>
      <c r="E22" s="66"/>
      <c r="H22" s="240"/>
      <c r="I22" s="243"/>
      <c r="J22" s="242"/>
    </row>
    <row r="23" spans="1:11" s="41" customFormat="1" x14ac:dyDescent="0.15">
      <c r="C23" s="67" t="s">
        <v>121</v>
      </c>
      <c r="D23" s="226" t="s">
        <v>40</v>
      </c>
      <c r="E23" s="94"/>
      <c r="F23" s="67"/>
      <c r="H23" s="240"/>
      <c r="I23" s="240"/>
      <c r="J23" s="240"/>
    </row>
    <row r="24" spans="1:11" s="41" customFormat="1" ht="15" x14ac:dyDescent="0.15">
      <c r="A24" s="227" t="s">
        <v>37</v>
      </c>
      <c r="C24" s="221" t="s">
        <v>146</v>
      </c>
      <c r="D24" s="69" t="s">
        <v>120</v>
      </c>
      <c r="E24" s="94"/>
      <c r="H24" s="244"/>
      <c r="I24" s="244"/>
      <c r="J24" s="244"/>
    </row>
    <row r="26" spans="1:11" x14ac:dyDescent="0.15">
      <c r="B26" s="29"/>
      <c r="C26" s="30"/>
      <c r="D26" s="30"/>
    </row>
    <row r="27" spans="1:11" x14ac:dyDescent="0.15">
      <c r="A27" s="29" t="s">
        <v>139</v>
      </c>
      <c r="B27" s="29">
        <v>672010</v>
      </c>
      <c r="C27" s="30">
        <v>50</v>
      </c>
      <c r="D27" s="30">
        <f>C27*3</f>
        <v>150</v>
      </c>
    </row>
    <row r="28" spans="1:11" x14ac:dyDescent="0.15">
      <c r="A28" s="29" t="s">
        <v>138</v>
      </c>
      <c r="B28" s="29">
        <v>672035</v>
      </c>
      <c r="C28" s="30">
        <v>1100</v>
      </c>
      <c r="D28" s="222">
        <f t="shared" ref="D28:D40" si="0">C28*3</f>
        <v>3300</v>
      </c>
    </row>
    <row r="29" spans="1:11" x14ac:dyDescent="0.15">
      <c r="A29" s="211" t="s">
        <v>145</v>
      </c>
      <c r="B29" s="211">
        <v>690020</v>
      </c>
      <c r="C29" s="30">
        <v>0</v>
      </c>
      <c r="D29" s="222">
        <v>0</v>
      </c>
    </row>
    <row r="30" spans="1:11" x14ac:dyDescent="0.15">
      <c r="A30" s="211" t="s">
        <v>144</v>
      </c>
      <c r="B30" s="211">
        <v>690020</v>
      </c>
      <c r="C30" s="222">
        <v>0</v>
      </c>
      <c r="D30" s="222">
        <v>0</v>
      </c>
    </row>
    <row r="31" spans="1:11" x14ac:dyDescent="0.15">
      <c r="A31" s="29" t="s">
        <v>185</v>
      </c>
      <c r="B31" s="29">
        <v>693045</v>
      </c>
      <c r="C31" s="30">
        <f>800*4</f>
        <v>3200</v>
      </c>
      <c r="D31" s="222">
        <f>C31*3</f>
        <v>9600</v>
      </c>
    </row>
    <row r="32" spans="1:11" x14ac:dyDescent="0.15">
      <c r="A32" s="269" t="s">
        <v>176</v>
      </c>
      <c r="B32" s="269">
        <v>693045</v>
      </c>
      <c r="C32" s="270">
        <v>0</v>
      </c>
      <c r="D32" s="273">
        <v>0</v>
      </c>
      <c r="E32" s="290" t="s">
        <v>167</v>
      </c>
      <c r="F32" s="290"/>
      <c r="G32" s="290"/>
    </row>
    <row r="33" spans="1:7" x14ac:dyDescent="0.15">
      <c r="A33" s="29" t="s">
        <v>99</v>
      </c>
      <c r="B33" s="29">
        <v>700470</v>
      </c>
      <c r="C33" s="30">
        <v>800</v>
      </c>
      <c r="D33" s="222">
        <f t="shared" si="0"/>
        <v>2400</v>
      </c>
      <c r="E33" s="290"/>
      <c r="F33" s="290"/>
      <c r="G33" s="290"/>
    </row>
    <row r="34" spans="1:7" x14ac:dyDescent="0.15">
      <c r="A34" s="211" t="s">
        <v>164</v>
      </c>
      <c r="B34" s="29">
        <v>700485</v>
      </c>
      <c r="C34" s="30">
        <v>150</v>
      </c>
      <c r="D34" s="222">
        <f t="shared" si="0"/>
        <v>450</v>
      </c>
    </row>
    <row r="35" spans="1:7" x14ac:dyDescent="0.15">
      <c r="A35" s="29" t="s">
        <v>98</v>
      </c>
      <c r="B35" s="29">
        <v>800210</v>
      </c>
      <c r="C35" s="30">
        <v>50</v>
      </c>
      <c r="D35" s="222">
        <f t="shared" si="0"/>
        <v>150</v>
      </c>
    </row>
    <row r="36" spans="1:7" x14ac:dyDescent="0.15">
      <c r="A36" s="211" t="s">
        <v>165</v>
      </c>
      <c r="B36" s="211">
        <v>800215</v>
      </c>
      <c r="C36" s="30">
        <v>350</v>
      </c>
      <c r="D36" s="222">
        <f t="shared" si="0"/>
        <v>1050</v>
      </c>
    </row>
    <row r="37" spans="1:7" x14ac:dyDescent="0.15">
      <c r="A37" s="211" t="s">
        <v>140</v>
      </c>
      <c r="B37" s="211">
        <v>800305</v>
      </c>
      <c r="C37" s="30">
        <v>50</v>
      </c>
      <c r="D37" s="222">
        <f t="shared" si="0"/>
        <v>150</v>
      </c>
    </row>
    <row r="38" spans="1:7" x14ac:dyDescent="0.15">
      <c r="A38" s="211" t="s">
        <v>122</v>
      </c>
      <c r="B38" s="211">
        <v>800310</v>
      </c>
      <c r="C38" s="30">
        <v>200</v>
      </c>
      <c r="D38" s="222">
        <f t="shared" si="0"/>
        <v>600</v>
      </c>
    </row>
    <row r="39" spans="1:7" x14ac:dyDescent="0.15">
      <c r="A39" s="211" t="s">
        <v>175</v>
      </c>
      <c r="B39" s="211">
        <v>810035</v>
      </c>
      <c r="C39" s="30">
        <v>600</v>
      </c>
      <c r="D39" s="222">
        <f t="shared" si="0"/>
        <v>1800</v>
      </c>
    </row>
    <row r="40" spans="1:7" x14ac:dyDescent="0.15">
      <c r="A40" s="29" t="s">
        <v>137</v>
      </c>
      <c r="B40" s="29">
        <v>840205</v>
      </c>
      <c r="C40" s="30">
        <v>3840</v>
      </c>
      <c r="D40" s="222">
        <f t="shared" si="0"/>
        <v>11520</v>
      </c>
    </row>
    <row r="41" spans="1:7" x14ac:dyDescent="0.15">
      <c r="A41" s="211"/>
      <c r="B41" s="211"/>
      <c r="C41" s="222"/>
      <c r="D41" s="222"/>
    </row>
    <row r="42" spans="1:7" x14ac:dyDescent="0.15">
      <c r="A42" s="32" t="s">
        <v>149</v>
      </c>
      <c r="B42" s="211"/>
      <c r="C42" s="245">
        <f>SUM(C25:C40)</f>
        <v>10390</v>
      </c>
      <c r="D42" s="245">
        <f>SUM(D25:D40)</f>
        <v>31170</v>
      </c>
      <c r="E42" s="274"/>
    </row>
    <row r="43" spans="1:7" x14ac:dyDescent="0.15">
      <c r="A43" s="211"/>
      <c r="B43" s="211"/>
      <c r="C43" s="222"/>
      <c r="D43" s="222"/>
    </row>
    <row r="44" spans="1:7" x14ac:dyDescent="0.15">
      <c r="B44" s="211"/>
      <c r="C44" s="222"/>
      <c r="D44" s="222"/>
    </row>
    <row r="45" spans="1:7" x14ac:dyDescent="0.15">
      <c r="A45" s="267" t="s">
        <v>162</v>
      </c>
      <c r="B45" s="211"/>
      <c r="C45" s="222"/>
      <c r="D45" s="222"/>
    </row>
    <row r="46" spans="1:7" x14ac:dyDescent="0.15">
      <c r="A46" s="211" t="s">
        <v>163</v>
      </c>
      <c r="D46" s="222">
        <v>2520.4</v>
      </c>
    </row>
    <row r="47" spans="1:7" x14ac:dyDescent="0.15">
      <c r="B47" s="211"/>
      <c r="C47" s="222"/>
      <c r="D47" s="222"/>
    </row>
    <row r="48" spans="1:7" x14ac:dyDescent="0.15">
      <c r="A48" s="211"/>
      <c r="B48" s="211"/>
      <c r="C48" s="222"/>
      <c r="D48" s="222"/>
    </row>
    <row r="49" spans="1:6" x14ac:dyDescent="0.15">
      <c r="A49" s="211"/>
      <c r="B49" s="211"/>
      <c r="C49" s="222"/>
      <c r="D49" s="222"/>
    </row>
    <row r="50" spans="1:6" x14ac:dyDescent="0.15">
      <c r="A50" s="29"/>
      <c r="B50" s="29"/>
      <c r="D50" s="30"/>
      <c r="F50" s="30"/>
    </row>
    <row r="51" spans="1:6" ht="14" thickBot="1" x14ac:dyDescent="0.2">
      <c r="A51" s="32" t="s">
        <v>38</v>
      </c>
      <c r="B51" s="32"/>
      <c r="C51" s="33"/>
      <c r="D51" s="32"/>
      <c r="E51" s="223">
        <f>SUM(D42:D50)</f>
        <v>33690.400000000001</v>
      </c>
      <c r="F51" s="32"/>
    </row>
    <row r="52" spans="1:6" ht="14" thickTop="1" x14ac:dyDescent="0.15">
      <c r="A52" s="32"/>
      <c r="B52" s="32"/>
      <c r="C52" s="33"/>
      <c r="D52" s="32"/>
      <c r="E52" s="33"/>
      <c r="F52" s="32"/>
    </row>
    <row r="53" spans="1:6" x14ac:dyDescent="0.15">
      <c r="A53" s="32"/>
      <c r="B53" s="32"/>
      <c r="C53" s="34"/>
      <c r="D53" s="32"/>
      <c r="E53" s="34"/>
      <c r="F53" s="32"/>
    </row>
    <row r="54" spans="1:6" x14ac:dyDescent="0.15">
      <c r="C54" s="66"/>
      <c r="D54" s="66"/>
    </row>
  </sheetData>
  <mergeCells count="1">
    <mergeCell ref="E32:G33"/>
  </mergeCells>
  <phoneticPr fontId="13" type="noConversion"/>
  <pageMargins left="0.75" right="0" top="0.75" bottom="0.25" header="0.3" footer="0.3"/>
  <pageSetup scale="84" fitToHeight="0" orientation="portrait" verticalDpi="0" r:id="rId1"/>
  <headerFooter>
    <oddHeader>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AnywherePrints BCR</vt:lpstr>
      <vt:lpstr>Sch A-PerSvcs</vt:lpstr>
      <vt:lpstr>Sch B-Labor</vt:lpstr>
      <vt:lpstr>Sch C-EquipReserve</vt:lpstr>
      <vt:lpstr>Sch D-Occupancy</vt:lpstr>
      <vt:lpstr>Sch E-ContractsExpenses</vt:lpstr>
    </vt:vector>
  </TitlesOfParts>
  <Company>NIU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EL0WLT1</dc:creator>
  <cp:lastModifiedBy>Marisa Benson</cp:lastModifiedBy>
  <cp:lastPrinted>2016-11-28T01:56:32Z</cp:lastPrinted>
  <dcterms:created xsi:type="dcterms:W3CDTF">2010-03-03T16:28:19Z</dcterms:created>
  <dcterms:modified xsi:type="dcterms:W3CDTF">2017-02-20T18:31:04Z</dcterms:modified>
</cp:coreProperties>
</file>