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emf" ContentType="image/x-em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a1766542/Desktop/"/>
    </mc:Choice>
  </mc:AlternateContent>
  <bookViews>
    <workbookView xWindow="2940" yWindow="960" windowWidth="26700" windowHeight="17540" tabRatio="500" activeTab="1"/>
  </bookViews>
  <sheets>
    <sheet name="Instructions" sheetId="1" r:id="rId1"/>
    <sheet name="Calculator" sheetId="2" r:id="rId2"/>
    <sheet name="Data" sheetId="3" r:id="rId3"/>
  </sheets>
  <definedNames>
    <definedName name="CanonInk">Data!$Y$11</definedName>
    <definedName name="CanonLaser">Data!$AA$11</definedName>
    <definedName name="DellLaser">Data!$W$11</definedName>
    <definedName name="EpsonInk">Data!$U$11</definedName>
    <definedName name="Example">Calculator!$C$23</definedName>
    <definedName name="ExampleNum">Calculator!$C$21</definedName>
    <definedName name="HPInk">Data!$Q$11</definedName>
    <definedName name="HPLaser">Data!$S$11</definedName>
    <definedName name="InkCostBlack">Data!$I$2:$I$8</definedName>
    <definedName name="InkCostColor">Data!$K$2:$K$8</definedName>
    <definedName name="InkLifeBlack">Data!$J$2:$J$8</definedName>
    <definedName name="InkLifeColor">Data!$L$2:$L$8</definedName>
    <definedName name="Picture">INDIRECT(Calculator!$C$25)</definedName>
    <definedName name="PictureNames">Data!$B$2:$B$7</definedName>
    <definedName name="PrinterCost">Data!$F$2:$F$8</definedName>
    <definedName name="PrinterData">Data!$D$2:$J$8</definedName>
    <definedName name="PrinterDescription">Data!$E$2:$E$8</definedName>
    <definedName name="PrinterDuty">Data!$G$2:$G$8</definedName>
    <definedName name="PrinterLife">Data!$H$2:$H$8</definedName>
    <definedName name="PrinterNames">Data!$D$2:$D$8</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M20" i="2" l="1"/>
  <c r="M21" i="2"/>
  <c r="M22" i="2"/>
  <c r="M24" i="2"/>
  <c r="M26" i="2"/>
  <c r="M25" i="2"/>
  <c r="N9" i="2"/>
  <c r="N8" i="2"/>
  <c r="E7" i="2"/>
  <c r="M13" i="2"/>
  <c r="C21" i="2"/>
  <c r="I9" i="2"/>
  <c r="J13" i="2"/>
  <c r="A8" i="2"/>
  <c r="J7" i="2"/>
  <c r="E6" i="2"/>
  <c r="F5" i="2"/>
  <c r="C25" i="2"/>
  <c r="D23" i="2"/>
  <c r="I13" i="2"/>
  <c r="M23" i="2"/>
  <c r="E13" i="2"/>
  <c r="N16" i="2"/>
  <c r="J3" i="2"/>
  <c r="J4" i="2"/>
  <c r="F3" i="2"/>
  <c r="J5" i="2"/>
  <c r="F4" i="2"/>
  <c r="J6" i="2"/>
  <c r="M16" i="2"/>
</calcChain>
</file>

<file path=xl/comments1.xml><?xml version="1.0" encoding="utf-8"?>
<comments xmlns="http://schemas.openxmlformats.org/spreadsheetml/2006/main">
  <authors>
    <author>Brett Coryell</author>
  </authors>
  <commentList>
    <comment ref="D4" authorId="0">
      <text>
        <r>
          <rPr>
            <b/>
            <sz val="9"/>
            <color indexed="81"/>
            <rFont val="Tahoma"/>
            <family val="2"/>
          </rPr>
          <t>Brett Coryell:</t>
        </r>
        <r>
          <rPr>
            <sz val="9"/>
            <color indexed="81"/>
            <rFont val="Tahoma"/>
            <family val="2"/>
          </rPr>
          <t xml:space="preserve">
This is how many pages per month your printer is recommended to print.  While it doesn’t factor into the cost, it is included here to check to see whether your actual print usage is greater than the recommended amount.  If so, you should plan on a shorter than average working life for your printer.
Note:  Most manufacturers have both a maximum and a recommended duty cycle.  Use the recommended.</t>
        </r>
      </text>
    </comment>
    <comment ref="N4" authorId="0">
      <text>
        <r>
          <rPr>
            <b/>
            <sz val="9"/>
            <color indexed="81"/>
            <rFont val="Tahoma"/>
            <family val="2"/>
          </rPr>
          <t>Brett Coryell:</t>
        </r>
        <r>
          <rPr>
            <sz val="9"/>
            <color indexed="81"/>
            <rFont val="Tahoma"/>
            <family val="2"/>
          </rPr>
          <t xml:space="preserve">
I only have one comparison point.  College of Ed has a warranty that charges a penny per page.</t>
        </r>
      </text>
    </comment>
    <comment ref="N5" authorId="0">
      <text>
        <r>
          <rPr>
            <b/>
            <sz val="9"/>
            <color indexed="81"/>
            <rFont val="Tahoma"/>
            <family val="2"/>
          </rPr>
          <t>Brett Coryell:</t>
        </r>
        <r>
          <rPr>
            <sz val="9"/>
            <color indexed="81"/>
            <rFont val="Tahoma"/>
            <family val="2"/>
          </rPr>
          <t xml:space="preserve">
Assuming 30 minutes to setup and 30 minutes to surplus a printer by a typical desktop support person and the $10 fee to the state for the privilege of surplus, that's $30.  Not all printers are sent to surplus because many are too inexpensive to warrant that treatment.
</t>
        </r>
      </text>
    </comment>
    <comment ref="N6" authorId="0">
      <text>
        <r>
          <rPr>
            <b/>
            <sz val="9"/>
            <color indexed="81"/>
            <rFont val="Tahoma"/>
            <family val="2"/>
          </rPr>
          <t>Brett Coryell:</t>
        </r>
        <r>
          <rPr>
            <sz val="9"/>
            <color indexed="81"/>
            <rFont val="Tahoma"/>
            <family val="2"/>
          </rPr>
          <t xml:space="preserve">
This is an estimate based on the number of printers repaired on campus each year and the total cost of repairs.  Most broken printers are thrown away.  Most printers don't break in any given year.</t>
        </r>
      </text>
    </comment>
    <comment ref="D9" authorId="0">
      <text>
        <r>
          <rPr>
            <b/>
            <sz val="9"/>
            <color indexed="81"/>
            <rFont val="Tahoma"/>
            <family val="2"/>
          </rPr>
          <t>Brett Coryell:</t>
        </r>
        <r>
          <rPr>
            <sz val="9"/>
            <color indexed="81"/>
            <rFont val="Tahoma"/>
            <family val="2"/>
          </rPr>
          <t xml:space="preserve">
On average, when your printer breaks or reaches the end of its life, how many ink or toner cartridges to you have left over?  Include them in the cost of your printer as a wasted resource.</t>
        </r>
      </text>
    </comment>
    <comment ref="D10" authorId="0">
      <text>
        <r>
          <rPr>
            <b/>
            <sz val="9"/>
            <color indexed="81"/>
            <rFont val="Tahoma"/>
            <family val="2"/>
          </rPr>
          <t>Brett Coryell:</t>
        </r>
        <r>
          <rPr>
            <sz val="9"/>
            <color indexed="81"/>
            <rFont val="Tahoma"/>
            <family val="2"/>
          </rPr>
          <t xml:space="preserve">
This is where to include the cost of additional items that are purchased with the printer such as an extra paper tray, envelope feeder, duplexing unit, collating bins, or the like.</t>
        </r>
      </text>
    </comment>
    <comment ref="L20" authorId="0">
      <text>
        <r>
          <rPr>
            <b/>
            <sz val="9"/>
            <color indexed="81"/>
            <rFont val="Tahoma"/>
            <family val="2"/>
          </rPr>
          <t>Brett Coryell:</t>
        </r>
        <r>
          <rPr>
            <sz val="9"/>
            <color indexed="81"/>
            <rFont val="Tahoma"/>
            <family val="2"/>
          </rPr>
          <t xml:space="preserve">
Inkjets lose ink when you turn them off/on and when you clean the heads.  Warn if inkjet printers don't account for this.</t>
        </r>
      </text>
    </comment>
    <comment ref="L21" authorId="0">
      <text>
        <r>
          <rPr>
            <b/>
            <sz val="9"/>
            <color indexed="81"/>
            <rFont val="Tahoma"/>
            <family val="2"/>
          </rPr>
          <t>Brett Coryell:</t>
        </r>
        <r>
          <rPr>
            <sz val="9"/>
            <color indexed="81"/>
            <rFont val="Tahoma"/>
            <family val="2"/>
          </rPr>
          <t xml:space="preserve">
Studies from our buildings show hundreds of abandoned ink cartridges.  Warn if we forget to account for this.</t>
        </r>
      </text>
    </comment>
    <comment ref="L22" authorId="0">
      <text>
        <r>
          <rPr>
            <b/>
            <sz val="9"/>
            <color indexed="81"/>
            <rFont val="Tahoma"/>
            <family val="2"/>
          </rPr>
          <t>Brett Coryell:</t>
        </r>
        <r>
          <rPr>
            <sz val="9"/>
            <color indexed="81"/>
            <rFont val="Tahoma"/>
            <family val="2"/>
          </rPr>
          <t xml:space="preserve">
Too long or too short a printer life, based on averages for inkjet and lasers.</t>
        </r>
      </text>
    </comment>
    <comment ref="L23" authorId="0">
      <text>
        <r>
          <rPr>
            <b/>
            <sz val="9"/>
            <color indexed="81"/>
            <rFont val="Tahoma"/>
            <family val="2"/>
          </rPr>
          <t>Brett Coryell:</t>
        </r>
        <r>
          <rPr>
            <sz val="9"/>
            <color indexed="81"/>
            <rFont val="Tahoma"/>
            <family val="2"/>
          </rPr>
          <t xml:space="preserve">
Warn if your printing use exceeds the recommended life of the printer.</t>
        </r>
      </text>
    </comment>
    <comment ref="L24" authorId="0">
      <text>
        <r>
          <rPr>
            <b/>
            <sz val="9"/>
            <color indexed="81"/>
            <rFont val="Tahoma"/>
            <family val="2"/>
          </rPr>
          <t>Brett Coryell:</t>
        </r>
        <r>
          <rPr>
            <sz val="9"/>
            <color indexed="81"/>
            <rFont val="Tahoma"/>
            <family val="2"/>
          </rPr>
          <t xml:space="preserve">
There is a cost to each purchase we run through the system.  Warn if we enter $0.
</t>
        </r>
      </text>
    </comment>
    <comment ref="L25" authorId="0">
      <text>
        <r>
          <rPr>
            <b/>
            <sz val="9"/>
            <color indexed="81"/>
            <rFont val="Tahoma"/>
            <family val="2"/>
          </rPr>
          <t xml:space="preserve">Brett Coryell:
</t>
        </r>
        <r>
          <rPr>
            <sz val="9"/>
            <color indexed="81"/>
            <rFont val="Tahoma"/>
            <family val="2"/>
          </rPr>
          <t xml:space="preserve">Most won't have both types of warranty payments.  Also, warn if we have IT break/fix costs and warranty coverage.
</t>
        </r>
      </text>
    </comment>
    <comment ref="L26" authorId="0">
      <text>
        <r>
          <rPr>
            <b/>
            <sz val="9"/>
            <color indexed="81"/>
            <rFont val="Tahoma"/>
            <family val="2"/>
          </rPr>
          <t>Brett Coryell:</t>
        </r>
        <r>
          <rPr>
            <sz val="9"/>
            <color indexed="81"/>
            <rFont val="Tahoma"/>
            <family val="2"/>
          </rPr>
          <t xml:space="preserve">
Warn if warranty is zero and IT break/fix is zero.  Warn if there is no cost for setup and removal of printers.</t>
        </r>
      </text>
    </comment>
  </commentList>
</comments>
</file>

<file path=xl/sharedStrings.xml><?xml version="1.0" encoding="utf-8"?>
<sst xmlns="http://schemas.openxmlformats.org/spreadsheetml/2006/main" count="106" uniqueCount="95">
  <si>
    <t>Printer</t>
  </si>
  <si>
    <t>Ink</t>
  </si>
  <si>
    <t>Cost</t>
  </si>
  <si>
    <t>Loss (%)</t>
  </si>
  <si>
    <t>Support</t>
  </si>
  <si>
    <t>About your printing</t>
  </si>
  <si>
    <t>Duty cycle</t>
  </si>
  <si>
    <t>Answers</t>
  </si>
  <si>
    <t>Yes</t>
  </si>
  <si>
    <t>No</t>
  </si>
  <si>
    <t>About your printer</t>
  </si>
  <si>
    <t>color</t>
  </si>
  <si>
    <t>Name</t>
  </si>
  <si>
    <t>Duty</t>
  </si>
  <si>
    <t>Liftime</t>
  </si>
  <si>
    <t>Ink Cost</t>
  </si>
  <si>
    <t>Ink Life</t>
  </si>
  <si>
    <t>Examples</t>
  </si>
  <si>
    <t>Description</t>
  </si>
  <si>
    <t>HP LaserJet Pro M501dn</t>
  </si>
  <si>
    <t>Good mono laser printer for small office</t>
  </si>
  <si>
    <t>HPLaser</t>
  </si>
  <si>
    <t>HPInk</t>
  </si>
  <si>
    <t>EpsonInk</t>
  </si>
  <si>
    <t>CanonInk</t>
  </si>
  <si>
    <t>CanonLaser</t>
  </si>
  <si>
    <t>HP OfficeJet Pro 7740</t>
  </si>
  <si>
    <t>Large duplexing inkjet for offices</t>
  </si>
  <si>
    <t>cpp black</t>
  </si>
  <si>
    <t>cpp color</t>
  </si>
  <si>
    <t>Epson WF-2760</t>
  </si>
  <si>
    <t>Budget all in one geared for small offices</t>
  </si>
  <si>
    <t>Pages per month black</t>
  </si>
  <si>
    <t>Pages per month color</t>
  </si>
  <si>
    <t>Is it an inkjet?</t>
  </si>
  <si>
    <t>Paper cost per box (10 reams)</t>
  </si>
  <si>
    <t>About other devices</t>
  </si>
  <si>
    <t>Do you also have a separate scanner?</t>
  </si>
  <si>
    <t>Do you also have a separate fax machine?</t>
  </si>
  <si>
    <t>Your cost</t>
  </si>
  <si>
    <t>Cost (black)</t>
  </si>
  <si>
    <t>Life (black)</t>
  </si>
  <si>
    <t>Cost (color)</t>
  </si>
  <si>
    <t>Life (color)</t>
  </si>
  <si>
    <t>None</t>
  </si>
  <si>
    <t>Ink cost color</t>
  </si>
  <si>
    <t>Ink life color</t>
  </si>
  <si>
    <t>About transaction costs</t>
  </si>
  <si>
    <t>Your values</t>
  </si>
  <si>
    <t>Max pages</t>
  </si>
  <si>
    <t>Your pages</t>
  </si>
  <si>
    <t>Percent print that is black and white</t>
  </si>
  <si>
    <t>black</t>
  </si>
  <si>
    <t>Left over ink</t>
  </si>
  <si>
    <t>Paper cost</t>
  </si>
  <si>
    <t>Scanner cost</t>
  </si>
  <si>
    <t>Fax cost</t>
  </si>
  <si>
    <t>Total Cost Per Page</t>
  </si>
  <si>
    <t>Black</t>
  </si>
  <si>
    <t>Color</t>
  </si>
  <si>
    <t>Color laser for medium sized workgroups</t>
  </si>
  <si>
    <t>Dell S5840cdn</t>
  </si>
  <si>
    <t>Picture names</t>
  </si>
  <si>
    <t>DellLaser</t>
  </si>
  <si>
    <t>Canon Pixma MG6620</t>
  </si>
  <si>
    <t>Wireless inkjet photo printer</t>
  </si>
  <si>
    <t>Canon imageCLASS LBP6780dn</t>
  </si>
  <si>
    <t>High volume workgroup mono laser</t>
  </si>
  <si>
    <t>Accessories</t>
  </si>
  <si>
    <t>overhead cost to execute a PO or use P-Card</t>
  </si>
  <si>
    <t>Everything you need to find your cost of printing is on the Calculator tab. You don't need to enter anything on the Data tab.  The information on the Data tab is used to hold sample data and some pictures used by the Calculator.  
Visually, the cells on the Calculator tab are red, green, yellow, or gray.  The red cells are your final answer, the cost per page of printing either black/white or color.  The green cells are where you enter data.  Green = go = type here.  The yellow cells are calculations.  The gray cells are sample data.  Not everyknow knows their actual costs so I've selected six different printers, all well regarded, and gathered costs, the amount of printing they can do per month, and how long their ink lasts based on published data.  To pick sample data from different printers, use the pull down list in cell D20, immediately to the left of the picture of the printer.</t>
  </si>
  <si>
    <t xml:space="preserve">Columns A and B hold questions about your use of printing in general.  The costs in these columns would be the same no matter which type of individual printer you end up using.  Of special note is the question about scanners and fax machines.  If your office has these devices, they could be replaced with a shared printer from DoIT, relieving you of that expense.  If you want to count those costs as part of your apples-to-apples price comparison, you may do so here.
</t>
  </si>
  <si>
    <t>Columns H-J cover your ink and paper costs.  It should be self-explanatory except for Loss.  If you are calculating the cost of an inkjet printer, you really should account for the loss of ink due to head cleaning and powering on and off.  
Columns L-N address support and repair costs.  Typically, people only have one type of support agreement.  Maintenance contracts are either assessed on a per page or a per month/year basis.  If you don't have a maintenance contract, someone in IT usually fixes the printer and that has a cost.  Use can use our averages if your area doesn't keep track.</t>
  </si>
  <si>
    <t>printer</t>
  </si>
  <si>
    <t>support</t>
  </si>
  <si>
    <t>components</t>
  </si>
  <si>
    <r>
      <t xml:space="preserve">Trying to calculate the true cost of anything is more complicated than it might seem and printing is no exception.  
With printing, everyone understands that the cost of paper and ink (or toner for laser printers, but I'll say ink throughout this spreadsheet) is important.  What gets left out or any number of other factors that also count when we look at thousands and thousands of printers across the university.
Even starting with the obvious things, vendors who quote the cost per page of their printers usually leave out the cost of the paper.  Many leave out the cost of the printer itself and only count the ink cost.
With color printing, I've seen major manufacturers put out misleading documents that say they can print color for 2 cents per page.  The little asterisk on that statement is that it assumes only 5% of the page is in color, which is contrary to the international standard -- yes, there is one -- for color printing.  The standard is to quote costs based on 20% coverage.
Inkjet printers have a dirty little secret.  Although Canon, Epson, HP, and others will quote a certain number of pages per ink cartridge, they assume that you never turn your printer off and you never have to clean the print heads.  People lose between 15% and 50% of their ink to power cycling and print head cleaning.  The less you print, the more ink you lose to these functions, making the cost of ink higher than you think.
We don't often think of it, but it costs money for Procurement and Purchasing to process an order so every p-card or PO that goes to buying ink and toner has an institutional cost.
Printers need to get shipped, installed, configured, and surplused.  The true cost of having your own printer should count these costs.  And we don't think of it very often, but IT departments around campus need to come fix your printer.  Most people say that doesn't happen to them or that it doesn't cost anything, but we have data from here at NIU about those costs.  If IT doesn't fix the printer, maybe you have a separate contract with a company to come fix it.
When comparing print costs, we have to make an apples-to-apples comparison.  The calculator on the next page has places to enter these costs.  The DoIT rates for shared printers include </t>
    </r>
    <r>
      <rPr>
        <u/>
        <sz val="12"/>
        <color theme="1"/>
        <rFont val="Calibri"/>
        <family val="2"/>
        <scheme val="minor"/>
      </rPr>
      <t>all</t>
    </r>
    <r>
      <rPr>
        <sz val="12"/>
        <color theme="1"/>
        <rFont val="Calibri"/>
        <family val="2"/>
        <scheme val="minor"/>
      </rPr>
      <t xml:space="preserve"> of these costs.  You can choose to enter $0 for anything you want, but you should have a very good reason to think that something has no cost.
If you have any questions about how to use the print calculator, please contact</t>
    </r>
    <r>
      <rPr>
        <b/>
        <sz val="12"/>
        <color theme="1"/>
        <rFont val="Calibri"/>
        <family val="2"/>
        <scheme val="minor"/>
      </rPr>
      <t xml:space="preserve"> Lisa Arnold </t>
    </r>
    <r>
      <rPr>
        <sz val="12"/>
        <color theme="1"/>
        <rFont val="Calibri"/>
        <family val="2"/>
        <scheme val="minor"/>
      </rPr>
      <t>at larnold@niu.edu.</t>
    </r>
  </si>
  <si>
    <t>Hello, and welcome to the cost of printing calculator.  First, a few words about calculating costs.</t>
  </si>
  <si>
    <t>Now, a few words about how to use the printing calculator itself.</t>
  </si>
  <si>
    <t>Checks:</t>
  </si>
  <si>
    <t>Inkjet loss calculation</t>
  </si>
  <si>
    <t>Printer lifetime</t>
  </si>
  <si>
    <t>Transaction costs</t>
  </si>
  <si>
    <t>Expected life</t>
  </si>
  <si>
    <t>Printer usage</t>
  </si>
  <si>
    <t>Warranty (per year)</t>
  </si>
  <si>
    <t>Warranty (per page)</t>
  </si>
  <si>
    <t>IT setup / removal</t>
  </si>
  <si>
    <t>IT break/fix support</t>
  </si>
  <si>
    <t>Warranties</t>
  </si>
  <si>
    <t>IT support costs</t>
  </si>
  <si>
    <t>Columns D-F ask about your printer.  Duty cycle is the number of pages per month you print.  Life is the lifetime of your printer in years.  The expected lifetime of printers is going down over time, due to downward cost pressure which in turn means cheaper parts are being used.  Inkjet printers are now believed to live less than four years and laser printers about five.  When printers break, it is common to buy a different model of printer which cannot use the same ink or toner.  This abandons any spare ink cartridges you have in your closets.  Those extra costs are accounted for in this section.</t>
  </si>
  <si>
    <t>Finally, in the bottom right corner, under the per page costs, is a section of checks.  There are lots of variable and if you're playing with the model, it's easy to leave some things out.  This area has some warning messages to help you remember to fully set all the variables.  See the comments for more explanation of each warning message.</t>
  </si>
  <si>
    <t>Choose a comparison printer below</t>
  </si>
  <si>
    <t>Comparison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</si>
</sst>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0_);_(* \(#,##0.0\);_(* &quot;-&quot;??_);_(@_)"/>
    <numFmt numFmtId="165" formatCode="_(* #,##0_);_(* \(#,##0\);_(* &quot;-&quot;??_);_(@_)"/>
  </numFmts>
  <fonts count="15" x14ac:knownFonts="1">
    <font>
      <sz val="12"/>
      <color theme="1"/>
      <name val="Calibri"/>
      <family val="2"/>
      <scheme val="minor"/>
    </font>
    <font>
      <sz val="11"/>
      <color theme="1"/>
      <name val="Calibri"/>
      <family val="2"/>
      <scheme val="minor"/>
    </font>
    <font>
      <sz val="12"/>
      <color theme="1"/>
      <name val="Calibri"/>
      <family val="2"/>
      <scheme val="minor"/>
    </font>
    <font>
      <sz val="12"/>
      <color rgb="FF006100"/>
      <name val="Calibri"/>
      <family val="2"/>
      <scheme val="minor"/>
    </font>
    <font>
      <b/>
      <sz val="12"/>
      <color rgb="FF3F3F3F"/>
      <name val="Calibri"/>
      <family val="2"/>
      <scheme val="minor"/>
    </font>
    <font>
      <sz val="11"/>
      <color theme="1"/>
      <name val="Calibri"/>
      <family val="2"/>
      <scheme val="minor"/>
    </font>
    <font>
      <sz val="11"/>
      <color rgb="FF006100"/>
      <name val="Calibri"/>
      <family val="2"/>
      <scheme val="minor"/>
    </font>
    <font>
      <sz val="11"/>
      <color rgb="FF3F3F3F"/>
      <name val="Calibri"/>
      <family val="2"/>
      <scheme val="minor"/>
    </font>
    <font>
      <sz val="11"/>
      <name val="Calibri"/>
      <family val="2"/>
      <scheme val="minor"/>
    </font>
    <font>
      <sz val="14"/>
      <color theme="0"/>
      <name val="Calibri"/>
      <family val="2"/>
      <scheme val="minor"/>
    </font>
    <font>
      <b/>
      <sz val="11"/>
      <color theme="1"/>
      <name val="Calibri"/>
      <family val="2"/>
      <scheme val="minor"/>
    </font>
    <font>
      <u/>
      <sz val="12"/>
      <color theme="1"/>
      <name val="Calibri"/>
      <family val="2"/>
      <scheme val="minor"/>
    </font>
    <font>
      <b/>
      <sz val="12"/>
      <color theme="1"/>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solid">
        <fgColor rgb="FFC6EFCE"/>
      </patternFill>
    </fill>
    <fill>
      <patternFill patternType="solid">
        <fgColor rgb="FFF2F2F2"/>
      </patternFill>
    </fill>
    <fill>
      <patternFill patternType="solid">
        <fgColor rgb="FFFFFFCC"/>
      </patternFill>
    </fill>
    <fill>
      <patternFill patternType="solid">
        <fgColor rgb="FFC00000"/>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3" fillId="2" borderId="0" applyNumberFormat="0" applyBorder="0" applyAlignment="0" applyProtection="0"/>
    <xf numFmtId="0" fontId="4" fillId="3" borderId="1" applyNumberFormat="0" applyAlignment="0" applyProtection="0"/>
    <xf numFmtId="0" fontId="2" fillId="4" borderId="2" applyNumberFormat="0" applyFont="0" applyAlignment="0" applyProtection="0"/>
  </cellStyleXfs>
  <cellXfs count="39">
    <xf numFmtId="0" fontId="0" fillId="0" borderId="0" xfId="0"/>
    <xf numFmtId="0" fontId="0" fillId="0" borderId="0" xfId="0" applyBorder="1"/>
    <xf numFmtId="0" fontId="0" fillId="0" borderId="0" xfId="0" applyFill="1" applyBorder="1"/>
    <xf numFmtId="0" fontId="5" fillId="0" borderId="0" xfId="0" applyFont="1"/>
    <xf numFmtId="44" fontId="7" fillId="3" borderId="0" xfId="2" applyFont="1" applyFill="1" applyBorder="1"/>
    <xf numFmtId="0" fontId="7" fillId="3" borderId="0" xfId="5" applyFont="1" applyBorder="1"/>
    <xf numFmtId="9" fontId="7" fillId="3" borderId="0" xfId="3" applyFont="1" applyFill="1" applyBorder="1"/>
    <xf numFmtId="0" fontId="5" fillId="0" borderId="0" xfId="0" applyFont="1" applyAlignment="1">
      <alignment horizontal="left"/>
    </xf>
    <xf numFmtId="0" fontId="5" fillId="0" borderId="0" xfId="0" applyFont="1" applyAlignment="1">
      <alignment horizontal="center"/>
    </xf>
    <xf numFmtId="9" fontId="5" fillId="4" borderId="2" xfId="3" applyFont="1" applyFill="1" applyBorder="1" applyAlignment="1">
      <alignment horizontal="center"/>
    </xf>
    <xf numFmtId="44" fontId="6" fillId="2" borderId="0" xfId="2" applyFont="1" applyFill="1" applyProtection="1">
      <protection locked="0"/>
    </xf>
    <xf numFmtId="0" fontId="6" fillId="2" borderId="0" xfId="4" applyFont="1" applyProtection="1">
      <protection locked="0"/>
    </xf>
    <xf numFmtId="0" fontId="6" fillId="2" borderId="0" xfId="4" applyFont="1" applyBorder="1" applyProtection="1">
      <protection locked="0"/>
    </xf>
    <xf numFmtId="0" fontId="6" fillId="2" borderId="0" xfId="4" applyFont="1" applyAlignment="1" applyProtection="1">
      <alignment horizontal="center"/>
      <protection locked="0"/>
    </xf>
    <xf numFmtId="44" fontId="6" fillId="2" borderId="0" xfId="2" applyFont="1" applyFill="1" applyAlignment="1" applyProtection="1">
      <alignment horizontal="center"/>
      <protection locked="0"/>
    </xf>
    <xf numFmtId="9" fontId="6" fillId="2" borderId="0" xfId="3" applyFont="1" applyFill="1" applyProtection="1">
      <protection locked="0"/>
    </xf>
    <xf numFmtId="0" fontId="5" fillId="0" borderId="0" xfId="0" applyFont="1" applyProtection="1">
      <protection locked="0"/>
    </xf>
    <xf numFmtId="0" fontId="9" fillId="5" borderId="0" xfId="0" applyFont="1" applyFill="1"/>
    <xf numFmtId="0" fontId="9" fillId="5" borderId="0" xfId="0" applyFont="1" applyFill="1" applyAlignment="1">
      <alignment horizontal="right"/>
    </xf>
    <xf numFmtId="0" fontId="9" fillId="5" borderId="6" xfId="0" applyFont="1" applyFill="1" applyBorder="1" applyAlignment="1"/>
    <xf numFmtId="0" fontId="9" fillId="5" borderId="0" xfId="0" applyFont="1" applyFill="1" applyAlignment="1"/>
    <xf numFmtId="165" fontId="8" fillId="4" borderId="3" xfId="1" applyNumberFormat="1" applyFont="1" applyFill="1" applyBorder="1"/>
    <xf numFmtId="44" fontId="7" fillId="3" borderId="0" xfId="2" applyFont="1" applyFill="1" applyBorder="1" applyAlignment="1">
      <alignment horizontal="center"/>
    </xf>
    <xf numFmtId="0" fontId="1" fillId="0" borderId="0" xfId="0" applyFont="1" applyBorder="1" applyAlignment="1">
      <alignment horizontal="right"/>
    </xf>
    <xf numFmtId="0" fontId="5" fillId="0" borderId="0" xfId="0" applyFont="1" applyBorder="1"/>
    <xf numFmtId="0" fontId="1" fillId="0" borderId="0" xfId="0" applyFont="1" applyBorder="1"/>
    <xf numFmtId="0" fontId="5" fillId="0" borderId="0" xfId="0" applyFont="1" applyBorder="1" applyAlignment="1">
      <alignment horizontal="right"/>
    </xf>
    <xf numFmtId="43" fontId="5" fillId="4" borderId="8" xfId="6" applyNumberFormat="1" applyFont="1" applyBorder="1"/>
    <xf numFmtId="43" fontId="8" fillId="4" borderId="8" xfId="1" applyFont="1" applyFill="1" applyBorder="1"/>
    <xf numFmtId="0" fontId="1" fillId="0" borderId="0" xfId="0" applyFont="1"/>
    <xf numFmtId="0" fontId="6" fillId="0" borderId="0" xfId="4" applyFont="1" applyFill="1" applyAlignment="1" applyProtection="1">
      <alignment horizontal="center"/>
      <protection locked="0"/>
    </xf>
    <xf numFmtId="0" fontId="10" fillId="0" borderId="0" xfId="0" applyFont="1"/>
    <xf numFmtId="0" fontId="1" fillId="0" borderId="7" xfId="0" applyFont="1" applyBorder="1"/>
    <xf numFmtId="0" fontId="1" fillId="0" borderId="0" xfId="0" applyFont="1" applyAlignment="1">
      <alignment horizontal="center"/>
    </xf>
    <xf numFmtId="0" fontId="0" fillId="0" borderId="0" xfId="0" applyAlignment="1">
      <alignment horizontal="left" vertical="top" wrapText="1"/>
    </xf>
    <xf numFmtId="0" fontId="0" fillId="0" borderId="0" xfId="0" applyAlignment="1">
      <alignment horizontal="left"/>
    </xf>
    <xf numFmtId="164" fontId="9" fillId="5" borderId="4" xfId="0" applyNumberFormat="1" applyFont="1" applyFill="1" applyBorder="1" applyAlignment="1">
      <alignment horizontal="center"/>
    </xf>
    <xf numFmtId="164" fontId="9" fillId="5" borderId="5" xfId="0" applyNumberFormat="1" applyFont="1" applyFill="1" applyBorder="1" applyAlignment="1">
      <alignment horizontal="center"/>
    </xf>
    <xf numFmtId="0" fontId="5" fillId="0" borderId="0" xfId="0" applyFont="1" applyAlignment="1">
      <alignment horizontal="left"/>
    </xf>
  </cellXfs>
  <cellStyles count="7">
    <cellStyle name="Comma" xfId="1" builtinId="3"/>
    <cellStyle name="Currency" xfId="2" builtinId="4"/>
    <cellStyle name="Good" xfId="4" builtinId="26"/>
    <cellStyle name="Normal" xfId="0" builtinId="0"/>
    <cellStyle name="Note" xfId="6" builtinId="10"/>
    <cellStyle name="Output" xfId="5" builtinId="21"/>
    <cellStyle name="Percent" xfId="3"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4" Type="http://schemas.openxmlformats.org/officeDocument/2006/relationships/image" Target="../media/image6.png"/><Relationship Id="rId5" Type="http://schemas.openxmlformats.org/officeDocument/2006/relationships/image" Target="../media/image7.png"/><Relationship Id="rId6" Type="http://schemas.openxmlformats.org/officeDocument/2006/relationships/image" Target="../media/image8.png"/><Relationship Id="rId1" Type="http://schemas.openxmlformats.org/officeDocument/2006/relationships/image" Target="../media/image3.png"/><Relationship Id="rId2"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9</xdr:col>
          <xdr:colOff>2769</xdr:colOff>
          <xdr:row>36</xdr:row>
          <xdr:rowOff>4450</xdr:rowOff>
        </xdr:to>
        <xdr:pic>
          <xdr:nvPicPr>
            <xdr:cNvPr id="6" name="Picture 5">
              <a:extLst>
                <a:ext uri="{FF2B5EF4-FFF2-40B4-BE49-F238E27FC236}">
                  <a16:creationId xmlns="" xmlns:a16="http://schemas.microsoft.com/office/drawing/2014/main" id="{00000000-0008-0000-0100-000006000000}"/>
                </a:ext>
              </a:extLst>
            </xdr:cNvPr>
            <xdr:cNvPicPr>
              <a:picLocks noChangeAspect="1"/>
              <a:extLst>
                <a:ext uri="{84589F7E-364E-4C9E-8A38-B11213B215E9}">
                  <a14:cameraTool cellRange="Picture" spid="_x0000_s2188"/>
                </a:ext>
              </a:extLst>
            </xdr:cNvPicPr>
          </xdr:nvPicPr>
          <xdr:blipFill>
            <a:blip xmlns:r="http://schemas.openxmlformats.org/officeDocument/2006/relationships" r:embed="rId1"/>
            <a:stretch>
              <a:fillRect/>
            </a:stretch>
          </xdr:blipFill>
          <xdr:spPr>
            <a:xfrm>
              <a:off x="2743200" y="3949700"/>
              <a:ext cx="3657600" cy="3302000"/>
            </a:xfrm>
            <a:prstGeom prst="rect">
              <a:avLst/>
            </a:prstGeom>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18</xdr:col>
      <xdr:colOff>0</xdr:colOff>
      <xdr:row>10</xdr:row>
      <xdr:rowOff>0</xdr:rowOff>
    </xdr:from>
    <xdr:to>
      <xdr:col>18</xdr:col>
      <xdr:colOff>3987800</xdr:colOff>
      <xdr:row>10</xdr:row>
      <xdr:rowOff>3302000</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46100" y="2032000"/>
          <a:ext cx="3987800" cy="3302000"/>
        </a:xfrm>
        <a:prstGeom prst="rect">
          <a:avLst/>
        </a:prstGeom>
      </xdr:spPr>
    </xdr:pic>
    <xdr:clientData/>
  </xdr:twoCellAnchor>
  <xdr:twoCellAnchor editAs="oneCell">
    <xdr:from>
      <xdr:col>16</xdr:col>
      <xdr:colOff>0</xdr:colOff>
      <xdr:row>10</xdr:row>
      <xdr:rowOff>0</xdr:rowOff>
    </xdr:from>
    <xdr:to>
      <xdr:col>16</xdr:col>
      <xdr:colOff>4064000</xdr:colOff>
      <xdr:row>10</xdr:row>
      <xdr:rowOff>3149600</xdr:rowOff>
    </xdr:to>
    <xdr:pic>
      <xdr:nvPicPr>
        <xdr:cNvPr id="4" name="Picture 3">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95100" y="2032000"/>
          <a:ext cx="4064000" cy="3149600"/>
        </a:xfrm>
        <a:prstGeom prst="rect">
          <a:avLst/>
        </a:prstGeom>
      </xdr:spPr>
    </xdr:pic>
    <xdr:clientData/>
  </xdr:twoCellAnchor>
  <xdr:twoCellAnchor editAs="oneCell">
    <xdr:from>
      <xdr:col>20</xdr:col>
      <xdr:colOff>0</xdr:colOff>
      <xdr:row>10</xdr:row>
      <xdr:rowOff>0</xdr:rowOff>
    </xdr:from>
    <xdr:to>
      <xdr:col>21</xdr:col>
      <xdr:colOff>12700</xdr:colOff>
      <xdr:row>10</xdr:row>
      <xdr:rowOff>3200400</xdr:rowOff>
    </xdr:to>
    <xdr:pic>
      <xdr:nvPicPr>
        <xdr:cNvPr id="6" name="Picture 5">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603200" y="2032000"/>
          <a:ext cx="4127500" cy="3200400"/>
        </a:xfrm>
        <a:prstGeom prst="rect">
          <a:avLst/>
        </a:prstGeom>
      </xdr:spPr>
    </xdr:pic>
    <xdr:clientData/>
  </xdr:twoCellAnchor>
  <xdr:twoCellAnchor editAs="oneCell">
    <xdr:from>
      <xdr:col>22</xdr:col>
      <xdr:colOff>0</xdr:colOff>
      <xdr:row>10</xdr:row>
      <xdr:rowOff>0</xdr:rowOff>
    </xdr:from>
    <xdr:to>
      <xdr:col>22</xdr:col>
      <xdr:colOff>3822700</xdr:colOff>
      <xdr:row>10</xdr:row>
      <xdr:rowOff>3200400</xdr:rowOff>
    </xdr:to>
    <xdr:pic>
      <xdr:nvPicPr>
        <xdr:cNvPr id="7" name="DellLaser">
          <a:extLst>
            <a:ext uri="{FF2B5EF4-FFF2-40B4-BE49-F238E27FC236}">
              <a16:creationId xmlns="" xmlns:a16="http://schemas.microsoft.com/office/drawing/2014/main" id="{00000000-0008-0000-02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0543500" y="2032000"/>
          <a:ext cx="3822700" cy="3200400"/>
        </a:xfrm>
        <a:prstGeom prst="rect">
          <a:avLst/>
        </a:prstGeom>
      </xdr:spPr>
    </xdr:pic>
    <xdr:clientData/>
  </xdr:twoCellAnchor>
  <xdr:twoCellAnchor editAs="oneCell">
    <xdr:from>
      <xdr:col>24</xdr:col>
      <xdr:colOff>0</xdr:colOff>
      <xdr:row>10</xdr:row>
      <xdr:rowOff>0</xdr:rowOff>
    </xdr:from>
    <xdr:to>
      <xdr:col>24</xdr:col>
      <xdr:colOff>4040791</xdr:colOff>
      <xdr:row>10</xdr:row>
      <xdr:rowOff>3276600</xdr:rowOff>
    </xdr:to>
    <xdr:pic>
      <xdr:nvPicPr>
        <xdr:cNvPr id="8" name="Picture 7">
          <a:extLst>
            <a:ext uri="{FF2B5EF4-FFF2-40B4-BE49-F238E27FC236}">
              <a16:creationId xmlns="" xmlns:a16="http://schemas.microsoft.com/office/drawing/2014/main" id="{00000000-0008-0000-0200-00000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483800" y="2032000"/>
          <a:ext cx="4040791" cy="3276600"/>
        </a:xfrm>
        <a:prstGeom prst="rect">
          <a:avLst/>
        </a:prstGeom>
      </xdr:spPr>
    </xdr:pic>
    <xdr:clientData/>
  </xdr:twoCellAnchor>
  <xdr:twoCellAnchor editAs="oneCell">
    <xdr:from>
      <xdr:col>26</xdr:col>
      <xdr:colOff>0</xdr:colOff>
      <xdr:row>10</xdr:row>
      <xdr:rowOff>0</xdr:rowOff>
    </xdr:from>
    <xdr:to>
      <xdr:col>26</xdr:col>
      <xdr:colOff>3597934</xdr:colOff>
      <xdr:row>10</xdr:row>
      <xdr:rowOff>3352800</xdr:rowOff>
    </xdr:to>
    <xdr:pic>
      <xdr:nvPicPr>
        <xdr:cNvPr id="9" name="Picture 8">
          <a:extLst>
            <a:ext uri="{FF2B5EF4-FFF2-40B4-BE49-F238E27FC236}">
              <a16:creationId xmlns="" xmlns:a16="http://schemas.microsoft.com/office/drawing/2014/main" id="{00000000-0008-0000-0200-00000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0424100" y="2032000"/>
          <a:ext cx="3597934" cy="3352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showGridLines="0" topLeftCell="A2" workbookViewId="0">
      <selection activeCell="K34" sqref="K34"/>
    </sheetView>
  </sheetViews>
  <sheetFormatPr baseColWidth="10" defaultColWidth="11" defaultRowHeight="16" x14ac:dyDescent="0.2"/>
  <sheetData>
    <row r="1" spans="1:19" x14ac:dyDescent="0.2">
      <c r="A1" s="35" t="s">
        <v>77</v>
      </c>
      <c r="B1" s="35"/>
      <c r="C1" s="35"/>
      <c r="D1" s="35"/>
      <c r="E1" s="35"/>
      <c r="F1" s="35"/>
      <c r="G1" s="35"/>
      <c r="H1" s="35"/>
      <c r="I1" s="35"/>
      <c r="K1" s="35" t="s">
        <v>78</v>
      </c>
      <c r="L1" s="35"/>
      <c r="M1" s="35"/>
      <c r="N1" s="35"/>
      <c r="O1" s="35"/>
      <c r="P1" s="35"/>
      <c r="Q1" s="35"/>
      <c r="R1" s="35"/>
      <c r="S1" s="35"/>
    </row>
    <row r="3" spans="1:19" x14ac:dyDescent="0.2">
      <c r="A3" s="34" t="s">
        <v>76</v>
      </c>
      <c r="B3" s="34"/>
      <c r="C3" s="34"/>
      <c r="D3" s="34"/>
      <c r="E3" s="34"/>
      <c r="F3" s="34"/>
      <c r="G3" s="34"/>
      <c r="H3" s="34"/>
      <c r="I3" s="34"/>
      <c r="K3" s="34" t="s">
        <v>70</v>
      </c>
      <c r="L3" s="34"/>
      <c r="M3" s="34"/>
      <c r="N3" s="34"/>
      <c r="O3" s="34"/>
      <c r="P3" s="34"/>
      <c r="Q3" s="34"/>
      <c r="R3" s="34"/>
      <c r="S3" s="34"/>
    </row>
    <row r="4" spans="1:19" x14ac:dyDescent="0.2">
      <c r="A4" s="34"/>
      <c r="B4" s="34"/>
      <c r="C4" s="34"/>
      <c r="D4" s="34"/>
      <c r="E4" s="34"/>
      <c r="F4" s="34"/>
      <c r="G4" s="34"/>
      <c r="H4" s="34"/>
      <c r="I4" s="34"/>
      <c r="K4" s="34"/>
      <c r="L4" s="34"/>
      <c r="M4" s="34"/>
      <c r="N4" s="34"/>
      <c r="O4" s="34"/>
      <c r="P4" s="34"/>
      <c r="Q4" s="34"/>
      <c r="R4" s="34"/>
      <c r="S4" s="34"/>
    </row>
    <row r="5" spans="1:19" x14ac:dyDescent="0.2">
      <c r="A5" s="34"/>
      <c r="B5" s="34"/>
      <c r="C5" s="34"/>
      <c r="D5" s="34"/>
      <c r="E5" s="34"/>
      <c r="F5" s="34"/>
      <c r="G5" s="34"/>
      <c r="H5" s="34"/>
      <c r="I5" s="34"/>
      <c r="K5" s="34"/>
      <c r="L5" s="34"/>
      <c r="M5" s="34"/>
      <c r="N5" s="34"/>
      <c r="O5" s="34"/>
      <c r="P5" s="34"/>
      <c r="Q5" s="34"/>
      <c r="R5" s="34"/>
      <c r="S5" s="34"/>
    </row>
    <row r="6" spans="1:19" x14ac:dyDescent="0.2">
      <c r="A6" s="34"/>
      <c r="B6" s="34"/>
      <c r="C6" s="34"/>
      <c r="D6" s="34"/>
      <c r="E6" s="34"/>
      <c r="F6" s="34"/>
      <c r="G6" s="34"/>
      <c r="H6" s="34"/>
      <c r="I6" s="34"/>
      <c r="K6" s="34"/>
      <c r="L6" s="34"/>
      <c r="M6" s="34"/>
      <c r="N6" s="34"/>
      <c r="O6" s="34"/>
      <c r="P6" s="34"/>
      <c r="Q6" s="34"/>
      <c r="R6" s="34"/>
      <c r="S6" s="34"/>
    </row>
    <row r="7" spans="1:19" x14ac:dyDescent="0.2">
      <c r="A7" s="34"/>
      <c r="B7" s="34"/>
      <c r="C7" s="34"/>
      <c r="D7" s="34"/>
      <c r="E7" s="34"/>
      <c r="F7" s="34"/>
      <c r="G7" s="34"/>
      <c r="H7" s="34"/>
      <c r="I7" s="34"/>
      <c r="K7" s="34"/>
      <c r="L7" s="34"/>
      <c r="M7" s="34"/>
      <c r="N7" s="34"/>
      <c r="O7" s="34"/>
      <c r="P7" s="34"/>
      <c r="Q7" s="34"/>
      <c r="R7" s="34"/>
      <c r="S7" s="34"/>
    </row>
    <row r="8" spans="1:19" x14ac:dyDescent="0.2">
      <c r="A8" s="34"/>
      <c r="B8" s="34"/>
      <c r="C8" s="34"/>
      <c r="D8" s="34"/>
      <c r="E8" s="34"/>
      <c r="F8" s="34"/>
      <c r="G8" s="34"/>
      <c r="H8" s="34"/>
      <c r="I8" s="34"/>
      <c r="K8" s="34"/>
      <c r="L8" s="34"/>
      <c r="M8" s="34"/>
      <c r="N8" s="34"/>
      <c r="O8" s="34"/>
      <c r="P8" s="34"/>
      <c r="Q8" s="34"/>
      <c r="R8" s="34"/>
      <c r="S8" s="34"/>
    </row>
    <row r="9" spans="1:19" x14ac:dyDescent="0.2">
      <c r="A9" s="34"/>
      <c r="B9" s="34"/>
      <c r="C9" s="34"/>
      <c r="D9" s="34"/>
      <c r="E9" s="34"/>
      <c r="F9" s="34"/>
      <c r="G9" s="34"/>
      <c r="H9" s="34"/>
      <c r="I9" s="34"/>
      <c r="K9" s="34"/>
      <c r="L9" s="34"/>
      <c r="M9" s="34"/>
      <c r="N9" s="34"/>
      <c r="O9" s="34"/>
      <c r="P9" s="34"/>
      <c r="Q9" s="34"/>
      <c r="R9" s="34"/>
      <c r="S9" s="34"/>
    </row>
    <row r="10" spans="1:19" x14ac:dyDescent="0.2">
      <c r="A10" s="34"/>
      <c r="B10" s="34"/>
      <c r="C10" s="34"/>
      <c r="D10" s="34"/>
      <c r="E10" s="34"/>
      <c r="F10" s="34"/>
      <c r="G10" s="34"/>
      <c r="H10" s="34"/>
      <c r="I10" s="34"/>
      <c r="K10" s="34"/>
      <c r="L10" s="34"/>
      <c r="M10" s="34"/>
      <c r="N10" s="34"/>
      <c r="O10" s="34"/>
      <c r="P10" s="34"/>
      <c r="Q10" s="34"/>
      <c r="R10" s="34"/>
      <c r="S10" s="34"/>
    </row>
    <row r="11" spans="1:19" x14ac:dyDescent="0.2">
      <c r="A11" s="34"/>
      <c r="B11" s="34"/>
      <c r="C11" s="34"/>
      <c r="D11" s="34"/>
      <c r="E11" s="34"/>
      <c r="F11" s="34"/>
      <c r="G11" s="34"/>
      <c r="H11" s="34"/>
      <c r="I11" s="34"/>
      <c r="K11" s="34"/>
      <c r="L11" s="34"/>
      <c r="M11" s="34"/>
      <c r="N11" s="34"/>
      <c r="O11" s="34"/>
      <c r="P11" s="34"/>
      <c r="Q11" s="34"/>
      <c r="R11" s="34"/>
      <c r="S11" s="34"/>
    </row>
    <row r="12" spans="1:19" x14ac:dyDescent="0.2">
      <c r="A12" s="34"/>
      <c r="B12" s="34"/>
      <c r="C12" s="34"/>
      <c r="D12" s="34"/>
      <c r="E12" s="34"/>
      <c r="F12" s="34"/>
      <c r="G12" s="34"/>
      <c r="H12" s="34"/>
      <c r="I12" s="34"/>
    </row>
    <row r="13" spans="1:19" ht="15.75" customHeight="1" x14ac:dyDescent="0.2">
      <c r="A13" s="34"/>
      <c r="B13" s="34"/>
      <c r="C13" s="34"/>
      <c r="D13" s="34"/>
      <c r="E13" s="34"/>
      <c r="F13" s="34"/>
      <c r="G13" s="34"/>
      <c r="H13" s="34"/>
      <c r="I13" s="34"/>
      <c r="K13" s="34" t="s">
        <v>71</v>
      </c>
      <c r="L13" s="34"/>
      <c r="M13" s="34"/>
      <c r="N13" s="34"/>
      <c r="O13" s="34"/>
      <c r="P13" s="34"/>
      <c r="Q13" s="34"/>
      <c r="R13" s="34"/>
      <c r="S13" s="34"/>
    </row>
    <row r="14" spans="1:19" ht="15.75" customHeight="1" x14ac:dyDescent="0.2">
      <c r="A14" s="34"/>
      <c r="B14" s="34"/>
      <c r="C14" s="34"/>
      <c r="D14" s="34"/>
      <c r="E14" s="34"/>
      <c r="F14" s="34"/>
      <c r="G14" s="34"/>
      <c r="H14" s="34"/>
      <c r="I14" s="34"/>
      <c r="K14" s="34"/>
      <c r="L14" s="34"/>
      <c r="M14" s="34"/>
      <c r="N14" s="34"/>
      <c r="O14" s="34"/>
      <c r="P14" s="34"/>
      <c r="Q14" s="34"/>
      <c r="R14" s="34"/>
      <c r="S14" s="34"/>
    </row>
    <row r="15" spans="1:19" x14ac:dyDescent="0.2">
      <c r="A15" s="34"/>
      <c r="B15" s="34"/>
      <c r="C15" s="34"/>
      <c r="D15" s="34"/>
      <c r="E15" s="34"/>
      <c r="F15" s="34"/>
      <c r="G15" s="34"/>
      <c r="H15" s="34"/>
      <c r="I15" s="34"/>
      <c r="K15" s="34"/>
      <c r="L15" s="34"/>
      <c r="M15" s="34"/>
      <c r="N15" s="34"/>
      <c r="O15" s="34"/>
      <c r="P15" s="34"/>
      <c r="Q15" s="34"/>
      <c r="R15" s="34"/>
      <c r="S15" s="34"/>
    </row>
    <row r="16" spans="1:19" x14ac:dyDescent="0.2">
      <c r="A16" s="34"/>
      <c r="B16" s="34"/>
      <c r="C16" s="34"/>
      <c r="D16" s="34"/>
      <c r="E16" s="34"/>
      <c r="F16" s="34"/>
      <c r="G16" s="34"/>
      <c r="H16" s="34"/>
      <c r="I16" s="34"/>
      <c r="K16" s="34"/>
      <c r="L16" s="34"/>
      <c r="M16" s="34"/>
      <c r="N16" s="34"/>
      <c r="O16" s="34"/>
      <c r="P16" s="34"/>
      <c r="Q16" s="34"/>
      <c r="R16" s="34"/>
      <c r="S16" s="34"/>
    </row>
    <row r="17" spans="1:19" x14ac:dyDescent="0.2">
      <c r="A17" s="34"/>
      <c r="B17" s="34"/>
      <c r="C17" s="34"/>
      <c r="D17" s="34"/>
      <c r="E17" s="34"/>
      <c r="F17" s="34"/>
      <c r="G17" s="34"/>
      <c r="H17" s="34"/>
      <c r="I17" s="34"/>
      <c r="K17" s="34"/>
      <c r="L17" s="34"/>
      <c r="M17" s="34"/>
      <c r="N17" s="34"/>
      <c r="O17" s="34"/>
      <c r="P17" s="34"/>
      <c r="Q17" s="34"/>
      <c r="R17" s="34"/>
      <c r="S17" s="34"/>
    </row>
    <row r="18" spans="1:19" ht="15.75" customHeight="1" x14ac:dyDescent="0.2">
      <c r="A18" s="34"/>
      <c r="B18" s="34"/>
      <c r="C18" s="34"/>
      <c r="D18" s="34"/>
      <c r="E18" s="34"/>
      <c r="F18" s="34"/>
      <c r="G18" s="34"/>
      <c r="H18" s="34"/>
      <c r="I18" s="34"/>
      <c r="K18" s="34" t="s">
        <v>91</v>
      </c>
      <c r="L18" s="34"/>
      <c r="M18" s="34"/>
      <c r="N18" s="34"/>
      <c r="O18" s="34"/>
      <c r="P18" s="34"/>
      <c r="Q18" s="34"/>
      <c r="R18" s="34"/>
      <c r="S18" s="34"/>
    </row>
    <row r="19" spans="1:19" ht="15.75" customHeight="1" x14ac:dyDescent="0.2">
      <c r="A19" s="34"/>
      <c r="B19" s="34"/>
      <c r="C19" s="34"/>
      <c r="D19" s="34"/>
      <c r="E19" s="34"/>
      <c r="F19" s="34"/>
      <c r="G19" s="34"/>
      <c r="H19" s="34"/>
      <c r="I19" s="34"/>
      <c r="K19" s="34"/>
      <c r="L19" s="34"/>
      <c r="M19" s="34"/>
      <c r="N19" s="34"/>
      <c r="O19" s="34"/>
      <c r="P19" s="34"/>
      <c r="Q19" s="34"/>
      <c r="R19" s="34"/>
      <c r="S19" s="34"/>
    </row>
    <row r="20" spans="1:19" x14ac:dyDescent="0.2">
      <c r="A20" s="34"/>
      <c r="B20" s="34"/>
      <c r="C20" s="34"/>
      <c r="D20" s="34"/>
      <c r="E20" s="34"/>
      <c r="F20" s="34"/>
      <c r="G20" s="34"/>
      <c r="H20" s="34"/>
      <c r="I20" s="34"/>
      <c r="K20" s="34"/>
      <c r="L20" s="34"/>
      <c r="M20" s="34"/>
      <c r="N20" s="34"/>
      <c r="O20" s="34"/>
      <c r="P20" s="34"/>
      <c r="Q20" s="34"/>
      <c r="R20" s="34"/>
      <c r="S20" s="34"/>
    </row>
    <row r="21" spans="1:19" ht="15.75" customHeight="1" x14ac:dyDescent="0.2">
      <c r="A21" s="34"/>
      <c r="B21" s="34"/>
      <c r="C21" s="34"/>
      <c r="D21" s="34"/>
      <c r="E21" s="34"/>
      <c r="F21" s="34"/>
      <c r="G21" s="34"/>
      <c r="H21" s="34"/>
      <c r="I21" s="34"/>
      <c r="K21" s="34"/>
      <c r="L21" s="34"/>
      <c r="M21" s="34"/>
      <c r="N21" s="34"/>
      <c r="O21" s="34"/>
      <c r="P21" s="34"/>
      <c r="Q21" s="34"/>
      <c r="R21" s="34"/>
      <c r="S21" s="34"/>
    </row>
    <row r="22" spans="1:19" x14ac:dyDescent="0.2">
      <c r="A22" s="34"/>
      <c r="B22" s="34"/>
      <c r="C22" s="34"/>
      <c r="D22" s="34"/>
      <c r="E22" s="34"/>
      <c r="F22" s="34"/>
      <c r="G22" s="34"/>
      <c r="H22" s="34"/>
      <c r="I22" s="34"/>
      <c r="K22" s="34"/>
      <c r="L22" s="34"/>
      <c r="M22" s="34"/>
      <c r="N22" s="34"/>
      <c r="O22" s="34"/>
      <c r="P22" s="34"/>
      <c r="Q22" s="34"/>
      <c r="R22" s="34"/>
      <c r="S22" s="34"/>
    </row>
    <row r="23" spans="1:19" x14ac:dyDescent="0.2">
      <c r="A23" s="34"/>
      <c r="B23" s="34"/>
      <c r="C23" s="34"/>
      <c r="D23" s="34"/>
      <c r="E23" s="34"/>
      <c r="F23" s="34"/>
      <c r="G23" s="34"/>
      <c r="H23" s="34"/>
      <c r="I23" s="34"/>
      <c r="K23" s="34"/>
      <c r="L23" s="34"/>
      <c r="M23" s="34"/>
      <c r="N23" s="34"/>
      <c r="O23" s="34"/>
      <c r="P23" s="34"/>
      <c r="Q23" s="34"/>
      <c r="R23" s="34"/>
      <c r="S23" s="34"/>
    </row>
    <row r="24" spans="1:19" x14ac:dyDescent="0.2">
      <c r="A24" s="34"/>
      <c r="B24" s="34"/>
      <c r="C24" s="34"/>
      <c r="D24" s="34"/>
      <c r="E24" s="34"/>
      <c r="F24" s="34"/>
      <c r="G24" s="34"/>
      <c r="H24" s="34"/>
      <c r="I24" s="34"/>
      <c r="K24" s="34" t="s">
        <v>72</v>
      </c>
      <c r="L24" s="34"/>
      <c r="M24" s="34"/>
      <c r="N24" s="34"/>
      <c r="O24" s="34"/>
      <c r="P24" s="34"/>
      <c r="Q24" s="34"/>
      <c r="R24" s="34"/>
      <c r="S24" s="34"/>
    </row>
    <row r="25" spans="1:19" x14ac:dyDescent="0.2">
      <c r="A25" s="34"/>
      <c r="B25" s="34"/>
      <c r="C25" s="34"/>
      <c r="D25" s="34"/>
      <c r="E25" s="34"/>
      <c r="F25" s="34"/>
      <c r="G25" s="34"/>
      <c r="H25" s="34"/>
      <c r="I25" s="34"/>
      <c r="K25" s="34"/>
      <c r="L25" s="34"/>
      <c r="M25" s="34"/>
      <c r="N25" s="34"/>
      <c r="O25" s="34"/>
      <c r="P25" s="34"/>
      <c r="Q25" s="34"/>
      <c r="R25" s="34"/>
      <c r="S25" s="34"/>
    </row>
    <row r="26" spans="1:19" ht="15.75" customHeight="1" x14ac:dyDescent="0.2">
      <c r="A26" s="34"/>
      <c r="B26" s="34"/>
      <c r="C26" s="34"/>
      <c r="D26" s="34"/>
      <c r="E26" s="34"/>
      <c r="F26" s="34"/>
      <c r="G26" s="34"/>
      <c r="H26" s="34"/>
      <c r="I26" s="34"/>
      <c r="K26" s="34"/>
      <c r="L26" s="34"/>
      <c r="M26" s="34"/>
      <c r="N26" s="34"/>
      <c r="O26" s="34"/>
      <c r="P26" s="34"/>
      <c r="Q26" s="34"/>
      <c r="R26" s="34"/>
      <c r="S26" s="34"/>
    </row>
    <row r="27" spans="1:19" x14ac:dyDescent="0.2">
      <c r="A27" s="34"/>
      <c r="B27" s="34"/>
      <c r="C27" s="34"/>
      <c r="D27" s="34"/>
      <c r="E27" s="34"/>
      <c r="F27" s="34"/>
      <c r="G27" s="34"/>
      <c r="H27" s="34"/>
      <c r="I27" s="34"/>
      <c r="K27" s="34"/>
      <c r="L27" s="34"/>
      <c r="M27" s="34"/>
      <c r="N27" s="34"/>
      <c r="O27" s="34"/>
      <c r="P27" s="34"/>
      <c r="Q27" s="34"/>
      <c r="R27" s="34"/>
      <c r="S27" s="34"/>
    </row>
    <row r="28" spans="1:19" ht="15.75" customHeight="1" x14ac:dyDescent="0.2">
      <c r="A28" s="34"/>
      <c r="B28" s="34"/>
      <c r="C28" s="34"/>
      <c r="D28" s="34"/>
      <c r="E28" s="34"/>
      <c r="F28" s="34"/>
      <c r="G28" s="34"/>
      <c r="H28" s="34"/>
      <c r="I28" s="34"/>
      <c r="K28" s="34"/>
      <c r="L28" s="34"/>
      <c r="M28" s="34"/>
      <c r="N28" s="34"/>
      <c r="O28" s="34"/>
      <c r="P28" s="34"/>
      <c r="Q28" s="34"/>
      <c r="R28" s="34"/>
      <c r="S28" s="34"/>
    </row>
    <row r="29" spans="1:19" x14ac:dyDescent="0.2">
      <c r="A29" s="34"/>
      <c r="B29" s="34"/>
      <c r="C29" s="34"/>
      <c r="D29" s="34"/>
      <c r="E29" s="34"/>
      <c r="F29" s="34"/>
      <c r="G29" s="34"/>
      <c r="H29" s="34"/>
      <c r="I29" s="34"/>
      <c r="K29" s="34"/>
      <c r="L29" s="34"/>
      <c r="M29" s="34"/>
      <c r="N29" s="34"/>
      <c r="O29" s="34"/>
      <c r="P29" s="34"/>
      <c r="Q29" s="34"/>
      <c r="R29" s="34"/>
      <c r="S29" s="34"/>
    </row>
    <row r="30" spans="1:19" x14ac:dyDescent="0.2">
      <c r="A30" s="34"/>
      <c r="B30" s="34"/>
      <c r="C30" s="34"/>
      <c r="D30" s="34"/>
      <c r="E30" s="34"/>
      <c r="F30" s="34"/>
      <c r="G30" s="34"/>
      <c r="H30" s="34"/>
      <c r="I30" s="34"/>
      <c r="K30" s="34"/>
      <c r="L30" s="34"/>
      <c r="M30" s="34"/>
      <c r="N30" s="34"/>
      <c r="O30" s="34"/>
      <c r="P30" s="34"/>
      <c r="Q30" s="34"/>
      <c r="R30" s="34"/>
      <c r="S30" s="34"/>
    </row>
    <row r="31" spans="1:19" ht="15.75" customHeight="1" x14ac:dyDescent="0.2">
      <c r="A31" s="34"/>
      <c r="B31" s="34"/>
      <c r="C31" s="34"/>
      <c r="D31" s="34"/>
      <c r="E31" s="34"/>
      <c r="F31" s="34"/>
      <c r="G31" s="34"/>
      <c r="H31" s="34"/>
      <c r="I31" s="34"/>
      <c r="K31" s="34" t="s">
        <v>92</v>
      </c>
      <c r="L31" s="34"/>
      <c r="M31" s="34"/>
      <c r="N31" s="34"/>
      <c r="O31" s="34"/>
      <c r="P31" s="34"/>
      <c r="Q31" s="34"/>
      <c r="R31" s="34"/>
      <c r="S31" s="34"/>
    </row>
    <row r="32" spans="1:19" x14ac:dyDescent="0.2">
      <c r="A32" s="34"/>
      <c r="B32" s="34"/>
      <c r="C32" s="34"/>
      <c r="D32" s="34"/>
      <c r="E32" s="34"/>
      <c r="F32" s="34"/>
      <c r="G32" s="34"/>
      <c r="H32" s="34"/>
      <c r="I32" s="34"/>
      <c r="K32" s="34"/>
      <c r="L32" s="34"/>
      <c r="M32" s="34"/>
      <c r="N32" s="34"/>
      <c r="O32" s="34"/>
      <c r="P32" s="34"/>
      <c r="Q32" s="34"/>
      <c r="R32" s="34"/>
      <c r="S32" s="34"/>
    </row>
    <row r="33" spans="1:19" x14ac:dyDescent="0.2">
      <c r="A33" s="34"/>
      <c r="B33" s="34"/>
      <c r="C33" s="34"/>
      <c r="D33" s="34"/>
      <c r="E33" s="34"/>
      <c r="F33" s="34"/>
      <c r="G33" s="34"/>
      <c r="H33" s="34"/>
      <c r="I33" s="34"/>
      <c r="K33" s="34"/>
      <c r="L33" s="34"/>
      <c r="M33" s="34"/>
      <c r="N33" s="34"/>
      <c r="O33" s="34"/>
      <c r="P33" s="34"/>
      <c r="Q33" s="34"/>
      <c r="R33" s="34"/>
      <c r="S33" s="34"/>
    </row>
    <row r="34" spans="1:19" x14ac:dyDescent="0.2">
      <c r="A34" s="34"/>
      <c r="B34" s="34"/>
      <c r="C34" s="34"/>
      <c r="D34" s="34"/>
      <c r="E34" s="34"/>
      <c r="F34" s="34"/>
      <c r="G34" s="34"/>
      <c r="H34" s="34"/>
      <c r="I34" s="34"/>
    </row>
  </sheetData>
  <mergeCells count="8">
    <mergeCell ref="K24:S30"/>
    <mergeCell ref="K31:S33"/>
    <mergeCell ref="A3:I34"/>
    <mergeCell ref="A1:I1"/>
    <mergeCell ref="K1:S1"/>
    <mergeCell ref="K3:S11"/>
    <mergeCell ref="K13:S17"/>
    <mergeCell ref="K18:S23"/>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6"/>
  <sheetViews>
    <sheetView showGridLines="0" tabSelected="1" workbookViewId="0">
      <selection activeCell="I6" sqref="I6"/>
    </sheetView>
  </sheetViews>
  <sheetFormatPr baseColWidth="10" defaultColWidth="10.83203125" defaultRowHeight="15" x14ac:dyDescent="0.2"/>
  <cols>
    <col min="1" max="1" width="8.33203125" style="8" customWidth="1"/>
    <col min="2" max="2" width="35.5" style="3" customWidth="1"/>
    <col min="3" max="3" width="12" style="3" hidden="1" customWidth="1"/>
    <col min="4" max="4" width="21.1640625" style="3" customWidth="1"/>
    <col min="5" max="11" width="12" style="3" customWidth="1"/>
    <col min="12" max="12" width="21.1640625" style="3" customWidth="1"/>
    <col min="13" max="16384" width="10.83203125" style="3"/>
  </cols>
  <sheetData>
    <row r="1" spans="1:14" x14ac:dyDescent="0.2">
      <c r="A1" s="7" t="s">
        <v>10</v>
      </c>
      <c r="D1" s="3" t="s">
        <v>0</v>
      </c>
      <c r="H1" s="3" t="s">
        <v>1</v>
      </c>
      <c r="L1" s="3" t="s">
        <v>4</v>
      </c>
    </row>
    <row r="2" spans="1:14" x14ac:dyDescent="0.2">
      <c r="A2" s="13" t="s">
        <v>8</v>
      </c>
      <c r="B2" s="3" t="s">
        <v>34</v>
      </c>
      <c r="E2" s="3" t="s">
        <v>48</v>
      </c>
      <c r="F2" s="29" t="s">
        <v>94</v>
      </c>
      <c r="I2" s="3" t="s">
        <v>39</v>
      </c>
      <c r="J2" s="29" t="s">
        <v>94</v>
      </c>
      <c r="M2" s="3" t="s">
        <v>39</v>
      </c>
      <c r="N2" s="29" t="s">
        <v>94</v>
      </c>
    </row>
    <row r="3" spans="1:14" x14ac:dyDescent="0.2">
      <c r="A3" s="30"/>
      <c r="D3" s="3" t="s">
        <v>2</v>
      </c>
      <c r="E3" s="10">
        <v>0</v>
      </c>
      <c r="F3" s="4">
        <f>IF(ExampleNum &gt; 1, INDEX(PrinterCost, ExampleNum))</f>
        <v>80</v>
      </c>
      <c r="H3" s="3" t="s">
        <v>40</v>
      </c>
      <c r="I3" s="10">
        <v>0</v>
      </c>
      <c r="J3" s="4">
        <f>IF(ExampleNum &gt; 1, INDEX(InkCostBlack, ExampleNum))</f>
        <v>30</v>
      </c>
      <c r="L3" s="29" t="s">
        <v>85</v>
      </c>
      <c r="M3" s="10"/>
      <c r="N3" s="4"/>
    </row>
    <row r="4" spans="1:14" x14ac:dyDescent="0.2">
      <c r="D4" s="3" t="s">
        <v>6</v>
      </c>
      <c r="E4" s="11">
        <v>800</v>
      </c>
      <c r="F4" s="5">
        <f>IF(ExampleNum &gt; 1, INDEX(PrinterDuty, ExampleNum))</f>
        <v>800</v>
      </c>
      <c r="H4" s="3" t="s">
        <v>41</v>
      </c>
      <c r="I4" s="11">
        <v>500</v>
      </c>
      <c r="J4" s="5">
        <f>IF(ExampleNum &gt; 1, INDEX(InkLifeBlack, ExampleNum))</f>
        <v>500</v>
      </c>
      <c r="L4" s="29" t="s">
        <v>86</v>
      </c>
      <c r="M4" s="10"/>
      <c r="N4" s="4">
        <v>0.01</v>
      </c>
    </row>
    <row r="5" spans="1:14" x14ac:dyDescent="0.2">
      <c r="A5" s="7" t="s">
        <v>5</v>
      </c>
      <c r="D5" s="29" t="s">
        <v>83</v>
      </c>
      <c r="E5" s="12">
        <v>4</v>
      </c>
      <c r="F5" s="5">
        <f>IF(A2="Yes", 4, 5)</f>
        <v>4</v>
      </c>
      <c r="H5" s="3" t="s">
        <v>42</v>
      </c>
      <c r="I5" s="10">
        <v>0</v>
      </c>
      <c r="J5" s="4">
        <f>IF(ExampleNum &gt; 1, INDEX(InkCostColor, ExampleNum))</f>
        <v>51</v>
      </c>
      <c r="L5" s="29" t="s">
        <v>87</v>
      </c>
      <c r="M5" s="10">
        <v>0</v>
      </c>
      <c r="N5" s="4">
        <v>30</v>
      </c>
    </row>
    <row r="6" spans="1:14" x14ac:dyDescent="0.2">
      <c r="A6" s="13">
        <v>100</v>
      </c>
      <c r="B6" s="3" t="s">
        <v>32</v>
      </c>
      <c r="D6" s="3" t="s">
        <v>49</v>
      </c>
      <c r="E6" s="21">
        <f>E5*12*E4</f>
        <v>38400</v>
      </c>
      <c r="H6" s="3" t="s">
        <v>43</v>
      </c>
      <c r="I6" s="11">
        <v>450</v>
      </c>
      <c r="J6" s="5">
        <f>IF(ExampleNum &gt; 1, INDEX(InkLifeColor, ExampleNum))</f>
        <v>450</v>
      </c>
      <c r="L6" s="29" t="s">
        <v>88</v>
      </c>
      <c r="M6" s="10">
        <v>0</v>
      </c>
      <c r="N6" s="4">
        <v>10</v>
      </c>
    </row>
    <row r="7" spans="1:14" x14ac:dyDescent="0.2">
      <c r="A7" s="13">
        <v>10</v>
      </c>
      <c r="B7" s="3" t="s">
        <v>33</v>
      </c>
      <c r="D7" s="3" t="s">
        <v>50</v>
      </c>
      <c r="E7" s="21">
        <f>E5*12*(A6+A7)</f>
        <v>5280</v>
      </c>
      <c r="H7" s="3" t="s">
        <v>3</v>
      </c>
      <c r="I7" s="15">
        <v>0.25</v>
      </c>
      <c r="J7" s="6">
        <f>IF(A2="Yes", 25%, 0)</f>
        <v>0.25</v>
      </c>
    </row>
    <row r="8" spans="1:14" x14ac:dyDescent="0.2">
      <c r="A8" s="9">
        <f>A6/(A6+A7)</f>
        <v>0.90909090909090906</v>
      </c>
      <c r="B8" s="3" t="s">
        <v>51</v>
      </c>
      <c r="L8" s="3" t="s">
        <v>55</v>
      </c>
      <c r="M8" s="10"/>
      <c r="N8" s="22" t="str">
        <f>IF(A13="Yes", 125, "NA")</f>
        <v>NA</v>
      </c>
    </row>
    <row r="9" spans="1:14" x14ac:dyDescent="0.2">
      <c r="A9" s="14">
        <v>40</v>
      </c>
      <c r="B9" s="3" t="s">
        <v>35</v>
      </c>
      <c r="D9" s="3" t="s">
        <v>53</v>
      </c>
      <c r="E9" s="11">
        <v>1</v>
      </c>
      <c r="F9" s="5">
        <v>1</v>
      </c>
      <c r="H9" s="3" t="s">
        <v>54</v>
      </c>
      <c r="I9" s="28">
        <f>A9*100/(5000)</f>
        <v>0.8</v>
      </c>
      <c r="L9" s="3" t="s">
        <v>56</v>
      </c>
      <c r="M9" s="10"/>
      <c r="N9" s="22" t="str">
        <f>IF(A14="Yes", 60, "NA")</f>
        <v>NA</v>
      </c>
    </row>
    <row r="10" spans="1:14" x14ac:dyDescent="0.2">
      <c r="D10" s="3" t="s">
        <v>68</v>
      </c>
      <c r="E10" s="10">
        <v>0</v>
      </c>
    </row>
    <row r="11" spans="1:14" x14ac:dyDescent="0.2">
      <c r="E11" s="24"/>
      <c r="F11" s="24"/>
      <c r="H11" s="24"/>
      <c r="K11" s="24"/>
      <c r="L11" s="24"/>
      <c r="M11" s="24"/>
    </row>
    <row r="12" spans="1:14" x14ac:dyDescent="0.2">
      <c r="A12" s="7" t="s">
        <v>36</v>
      </c>
      <c r="B12" s="24"/>
      <c r="D12" s="25" t="s">
        <v>2</v>
      </c>
      <c r="E12" s="23" t="s">
        <v>73</v>
      </c>
      <c r="F12" s="24"/>
      <c r="G12" s="24"/>
      <c r="H12" s="24"/>
      <c r="I12" s="26" t="s">
        <v>52</v>
      </c>
      <c r="J12" s="26" t="s">
        <v>11</v>
      </c>
      <c r="K12" s="24"/>
      <c r="L12" s="24"/>
      <c r="M12" s="23" t="s">
        <v>74</v>
      </c>
      <c r="N12" s="24"/>
    </row>
    <row r="13" spans="1:14" x14ac:dyDescent="0.2">
      <c r="A13" s="13" t="s">
        <v>9</v>
      </c>
      <c r="B13" s="3" t="s">
        <v>37</v>
      </c>
      <c r="D13" s="25" t="s">
        <v>75</v>
      </c>
      <c r="E13" s="27">
        <f>(E3+A18+(E9*(I3+I5))+E10)*100/E7</f>
        <v>9.4696969696969696E-2</v>
      </c>
      <c r="F13" s="24"/>
      <c r="G13" s="24"/>
      <c r="H13" s="24"/>
      <c r="I13" s="28">
        <f>((I3+A18)*100 / I4) / (1-I7) + I9</f>
        <v>2.1333333333333333</v>
      </c>
      <c r="J13" s="28">
        <f>((I5+A18)*100/I6) / (1-I7) + I9</f>
        <v>2.2814814814814817</v>
      </c>
      <c r="K13" s="24"/>
      <c r="L13" s="24"/>
      <c r="M13" s="27">
        <f>((E5*SUM(M3:M5) + IF(A13="Yes", M8+A18) +IF(A14="Yes", M9+A18))*100) / E7</f>
        <v>0</v>
      </c>
      <c r="N13" s="24"/>
    </row>
    <row r="14" spans="1:14" x14ac:dyDescent="0.2">
      <c r="A14" s="13" t="s">
        <v>9</v>
      </c>
      <c r="B14" s="3" t="s">
        <v>38</v>
      </c>
      <c r="E14" s="24"/>
      <c r="F14" s="24"/>
      <c r="G14" s="24"/>
      <c r="H14" s="24"/>
      <c r="I14" s="24"/>
      <c r="K14" s="24"/>
      <c r="L14" s="24"/>
      <c r="M14" s="24"/>
    </row>
    <row r="15" spans="1:14" ht="20" thickBot="1" x14ac:dyDescent="0.3">
      <c r="L15" s="17"/>
      <c r="M15" s="18" t="s">
        <v>58</v>
      </c>
      <c r="N15" s="18" t="s">
        <v>59</v>
      </c>
    </row>
    <row r="16" spans="1:14" ht="15" customHeight="1" x14ac:dyDescent="0.25">
      <c r="L16" s="19"/>
      <c r="M16" s="36">
        <f>E13+I13+M13</f>
        <v>2.228030303030303</v>
      </c>
      <c r="N16" s="36">
        <f>E13+J13+M13</f>
        <v>2.3761784511784514</v>
      </c>
    </row>
    <row r="17" spans="1:14" ht="16" customHeight="1" thickBot="1" x14ac:dyDescent="0.3">
      <c r="A17" s="7" t="s">
        <v>47</v>
      </c>
      <c r="L17" s="20" t="s">
        <v>57</v>
      </c>
      <c r="M17" s="37"/>
      <c r="N17" s="37"/>
    </row>
    <row r="18" spans="1:14" x14ac:dyDescent="0.2">
      <c r="A18" s="14">
        <v>5</v>
      </c>
      <c r="B18" s="3" t="s">
        <v>69</v>
      </c>
    </row>
    <row r="19" spans="1:14" x14ac:dyDescent="0.2">
      <c r="D19" s="31" t="s">
        <v>93</v>
      </c>
    </row>
    <row r="20" spans="1:14" x14ac:dyDescent="0.2">
      <c r="C20" s="3" t="s">
        <v>17</v>
      </c>
      <c r="D20" s="16" t="s">
        <v>30</v>
      </c>
      <c r="K20" s="29" t="s">
        <v>79</v>
      </c>
      <c r="L20" s="29" t="s">
        <v>80</v>
      </c>
      <c r="M20" s="38" t="str">
        <f>IF(A2="No","OK",IF(I7=0,"No loss to head cleaning?",IF(I7&lt;0.15,"Maybe too little loss?",IF(I7&gt;0.5,"Maybe too much loss?","OK"))))</f>
        <v>OK</v>
      </c>
      <c r="N20" s="38"/>
    </row>
    <row r="21" spans="1:14" x14ac:dyDescent="0.2">
      <c r="C21" s="3">
        <f>MATCH(D20, PrinterNames,0)</f>
        <v>4</v>
      </c>
      <c r="L21" s="29" t="s">
        <v>53</v>
      </c>
      <c r="M21" s="38" t="str">
        <f>IF(E9=0, "Not counting left over?", "OK")</f>
        <v>OK</v>
      </c>
      <c r="N21" s="38"/>
    </row>
    <row r="22" spans="1:14" x14ac:dyDescent="0.2">
      <c r="D22" s="32" t="s">
        <v>18</v>
      </c>
      <c r="L22" s="29" t="s">
        <v>81</v>
      </c>
      <c r="M22" s="38" t="str">
        <f>IF(AND(A2="Yes", E5&lt;3), "Short life for an inkjet", IF(AND(A2="Yes", E5&gt;5), "Long life for an inkjet", IF(AND(A2="No", E5&lt;4), "Short life for a laser", IF(AND(A2="No", E5&gt;6), "Long life for a laser", "OK"))))</f>
        <v>OK</v>
      </c>
      <c r="N22" s="38"/>
    </row>
    <row r="23" spans="1:14" x14ac:dyDescent="0.2">
      <c r="C23" s="3" t="b">
        <v>0</v>
      </c>
      <c r="D23" s="38" t="str">
        <f>IF(ExampleNum&gt;1, INDEX(PrinterDescription, ExampleNum))</f>
        <v>Budget all in one geared for small offices</v>
      </c>
      <c r="E23" s="38"/>
      <c r="L23" s="29" t="s">
        <v>84</v>
      </c>
      <c r="M23" s="38" t="str">
        <f>IF(E7&gt;E6, "Extra high print level?", "OK")</f>
        <v>OK</v>
      </c>
      <c r="N23" s="38"/>
    </row>
    <row r="24" spans="1:14" x14ac:dyDescent="0.2">
      <c r="L24" s="29" t="s">
        <v>82</v>
      </c>
      <c r="M24" s="38" t="str">
        <f>IF(A18=0, "No cost to purchase?", "OK")</f>
        <v>OK</v>
      </c>
      <c r="N24" s="38"/>
    </row>
    <row r="25" spans="1:14" x14ac:dyDescent="0.2">
      <c r="A25" s="33"/>
      <c r="B25" s="29"/>
      <c r="C25" s="3" t="str">
        <f>IF(ExampleNum=2,"HPInk",IF(ExampleNum=3,"HPLaser",IF(ExampleNum=4,"EpsonInk",IF(ExampleNum=5, "DellLaser", IF(ExampleNum=6, "CanonInk", "CanonLaser")))))</f>
        <v>EpsonInk</v>
      </c>
      <c r="L25" s="29" t="s">
        <v>89</v>
      </c>
      <c r="M25" s="38" t="str">
        <f>IF(AND(M3&lt;&gt;0,M4&lt;&gt;0),"Two warranty payments?",IF(AND(SUM(M3:M4)&lt;&gt;0,M6&lt;&gt;0),"Warranty and IT support?","OK"))</f>
        <v>OK</v>
      </c>
      <c r="N25" s="38"/>
    </row>
    <row r="26" spans="1:14" x14ac:dyDescent="0.2">
      <c r="L26" s="29" t="s">
        <v>90</v>
      </c>
      <c r="M26" s="38" t="str">
        <f>IF(AND(M3=0, M4=0, M6=0), "No support costs at all?", IF(M5=0, "Ignoring setup/surplus cost?", "OK"))</f>
        <v>No support costs at all?</v>
      </c>
      <c r="N26" s="38"/>
    </row>
  </sheetData>
  <sheetProtection password="C44E" sheet="1" objects="1" scenarios="1"/>
  <mergeCells count="10">
    <mergeCell ref="M23:N23"/>
    <mergeCell ref="M24:N24"/>
    <mergeCell ref="M25:N25"/>
    <mergeCell ref="M26:N26"/>
    <mergeCell ref="D23:E23"/>
    <mergeCell ref="M16:M17"/>
    <mergeCell ref="N16:N17"/>
    <mergeCell ref="M20:N20"/>
    <mergeCell ref="M21:N21"/>
    <mergeCell ref="M22:N22"/>
  </mergeCells>
  <dataValidations count="1">
    <dataValidation type="whole" allowBlank="1" showInputMessage="1" showErrorMessage="1" errorTitle="I wasn't expecting that" error="Please enter a whole number of pages per month, somewhere between 0 and 32,000." sqref="A6:A7 A18">
      <formula1>0</formula1>
      <formula2>32000</formula2>
    </dataValidation>
  </dataValidations>
  <pageMargins left="0.7" right="0.7" top="0.75" bottom="0.75" header="0.3" footer="0.3"/>
  <pageSetup orientation="portrait" horizontalDpi="0" verticalDpi="0"/>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Data!$A$2:$A$3</xm:f>
          </x14:formula1>
          <xm:sqref>A13:A14 A2:A3</xm:sqref>
        </x14:dataValidation>
        <x14:dataValidation type="list" allowBlank="1" showInputMessage="1" showErrorMessage="1">
          <x14:formula1>
            <xm:f>Data!$D$2:$D$8</xm:f>
          </x14:formula1>
          <xm:sqref>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E2" sqref="E2"/>
    </sheetView>
  </sheetViews>
  <sheetFormatPr baseColWidth="10" defaultColWidth="11" defaultRowHeight="16" x14ac:dyDescent="0.2"/>
  <cols>
    <col min="4" max="4" width="21" bestFit="1" customWidth="1"/>
    <col min="5" max="5" width="33.6640625" bestFit="1" customWidth="1"/>
    <col min="17" max="17" width="54" customWidth="1"/>
    <col min="19" max="19" width="54" customWidth="1"/>
    <col min="21" max="21" width="54" customWidth="1"/>
    <col min="23" max="23" width="54" customWidth="1"/>
    <col min="25" max="25" width="54" customWidth="1"/>
    <col min="27" max="27" width="54" customWidth="1"/>
  </cols>
  <sheetData>
    <row r="1" spans="1:15" x14ac:dyDescent="0.2">
      <c r="A1" t="s">
        <v>7</v>
      </c>
      <c r="B1" t="s">
        <v>62</v>
      </c>
      <c r="D1" t="s">
        <v>12</v>
      </c>
      <c r="E1" t="s">
        <v>18</v>
      </c>
      <c r="F1" t="s">
        <v>2</v>
      </c>
      <c r="G1" t="s">
        <v>13</v>
      </c>
      <c r="H1" t="s">
        <v>14</v>
      </c>
      <c r="I1" t="s">
        <v>15</v>
      </c>
      <c r="J1" s="1" t="s">
        <v>16</v>
      </c>
      <c r="K1" s="2" t="s">
        <v>45</v>
      </c>
      <c r="L1" s="2" t="s">
        <v>46</v>
      </c>
      <c r="M1" s="2" t="s">
        <v>28</v>
      </c>
      <c r="N1" s="2" t="s">
        <v>29</v>
      </c>
      <c r="O1" s="1"/>
    </row>
    <row r="2" spans="1:15" x14ac:dyDescent="0.2">
      <c r="A2" t="s">
        <v>8</v>
      </c>
      <c r="B2" t="s">
        <v>22</v>
      </c>
      <c r="D2" t="s">
        <v>44</v>
      </c>
    </row>
    <row r="3" spans="1:15" x14ac:dyDescent="0.2">
      <c r="A3" t="s">
        <v>9</v>
      </c>
      <c r="B3" t="s">
        <v>21</v>
      </c>
      <c r="D3" t="s">
        <v>26</v>
      </c>
      <c r="E3" t="s">
        <v>27</v>
      </c>
      <c r="F3">
        <v>250</v>
      </c>
      <c r="G3">
        <v>1500</v>
      </c>
      <c r="H3">
        <v>11000</v>
      </c>
      <c r="I3">
        <v>38</v>
      </c>
      <c r="J3">
        <v>2450</v>
      </c>
      <c r="K3">
        <v>51</v>
      </c>
      <c r="L3">
        <v>700</v>
      </c>
      <c r="M3">
        <v>2.1</v>
      </c>
      <c r="N3">
        <v>8.1</v>
      </c>
    </row>
    <row r="4" spans="1:15" x14ac:dyDescent="0.2">
      <c r="B4" t="s">
        <v>23</v>
      </c>
      <c r="D4" t="s">
        <v>19</v>
      </c>
      <c r="E4" t="s">
        <v>20</v>
      </c>
      <c r="F4">
        <v>328</v>
      </c>
      <c r="G4">
        <v>3750</v>
      </c>
      <c r="I4">
        <v>187</v>
      </c>
      <c r="J4">
        <v>9000</v>
      </c>
      <c r="M4">
        <v>1.6</v>
      </c>
    </row>
    <row r="5" spans="1:15" x14ac:dyDescent="0.2">
      <c r="B5" t="s">
        <v>63</v>
      </c>
      <c r="D5" t="s">
        <v>30</v>
      </c>
      <c r="E5" t="s">
        <v>31</v>
      </c>
      <c r="F5">
        <v>80</v>
      </c>
      <c r="G5">
        <v>800</v>
      </c>
      <c r="I5">
        <v>30</v>
      </c>
      <c r="J5">
        <v>500</v>
      </c>
      <c r="K5">
        <v>51</v>
      </c>
      <c r="L5">
        <v>450</v>
      </c>
      <c r="M5">
        <v>6</v>
      </c>
      <c r="N5">
        <v>17.3</v>
      </c>
    </row>
    <row r="6" spans="1:15" x14ac:dyDescent="0.2">
      <c r="B6" t="s">
        <v>24</v>
      </c>
      <c r="D6" t="s">
        <v>61</v>
      </c>
      <c r="E6" t="s">
        <v>60</v>
      </c>
      <c r="F6">
        <v>707</v>
      </c>
      <c r="G6">
        <v>14000</v>
      </c>
      <c r="I6">
        <v>109</v>
      </c>
      <c r="J6">
        <v>5000</v>
      </c>
      <c r="K6">
        <v>423</v>
      </c>
      <c r="L6">
        <v>4000</v>
      </c>
      <c r="M6">
        <v>0.9</v>
      </c>
      <c r="N6">
        <v>7</v>
      </c>
    </row>
    <row r="7" spans="1:15" x14ac:dyDescent="0.2">
      <c r="B7" t="s">
        <v>25</v>
      </c>
      <c r="D7" t="s">
        <v>64</v>
      </c>
      <c r="E7" t="s">
        <v>65</v>
      </c>
      <c r="F7">
        <v>122</v>
      </c>
      <c r="G7">
        <v>1000</v>
      </c>
      <c r="I7">
        <v>25</v>
      </c>
      <c r="J7">
        <v>300</v>
      </c>
      <c r="K7">
        <v>60</v>
      </c>
      <c r="L7">
        <v>330</v>
      </c>
    </row>
    <row r="8" spans="1:15" x14ac:dyDescent="0.2">
      <c r="D8" t="s">
        <v>66</v>
      </c>
      <c r="E8" t="s">
        <v>67</v>
      </c>
      <c r="F8">
        <v>330</v>
      </c>
      <c r="G8">
        <v>40000</v>
      </c>
      <c r="I8">
        <v>214</v>
      </c>
      <c r="J8">
        <v>12500</v>
      </c>
    </row>
    <row r="11" spans="1:15" ht="266" customHeight="1"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Calculator</vt:lpstr>
      <vt:lpstr>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Marisa Benson</cp:lastModifiedBy>
  <dcterms:created xsi:type="dcterms:W3CDTF">2016-12-11T19:01:27Z</dcterms:created>
  <dcterms:modified xsi:type="dcterms:W3CDTF">2017-01-24T16:14:50Z</dcterms:modified>
</cp:coreProperties>
</file>